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filterPrivacy="1" hidePivotFieldList="1"/>
  <xr:revisionPtr revIDLastSave="3" documentId="8_{319CDA37-B344-493D-8F62-D95BC4347A2A}" xr6:coauthVersionLast="47" xr6:coauthVersionMax="47" xr10:uidLastSave="{D2723CB4-C95C-403A-97C5-432298E371E3}"/>
  <bookViews>
    <workbookView xWindow="28680" yWindow="1680" windowWidth="29040" windowHeight="15720" tabRatio="669" xr2:uid="{D851BCFE-E9A4-4833-AEAD-F77566FC37EB}"/>
  </bookViews>
  <sheets>
    <sheet name="Read Me" sheetId="12" r:id="rId1"/>
    <sheet name="Res Heat Pump Summary Table" sheetId="10" r:id="rId2"/>
    <sheet name="Res HP Summary Pivot Chart" sheetId="38" r:id="rId3"/>
    <sheet name="Flat Sum Table" sheetId="31" r:id="rId4"/>
    <sheet name="Solar + Storage" sheetId="15" r:id="rId5"/>
    <sheet name="WX+HP " sheetId="17" r:id="rId6"/>
    <sheet name="Residential Heat Pump Measure" sheetId="1" r:id="rId7"/>
    <sheet name="Other Fuel Impact Heating Oil" sheetId="5" r:id="rId8"/>
    <sheet name="Other Fuel Impact Nat Gas" sheetId="7" r:id="rId9"/>
    <sheet name="Other Fuel Impact Propane" sheetId="9" r:id="rId10"/>
    <sheet name="Other Fuel Impact Electric" sheetId="11" r:id="rId11"/>
    <sheet name="Other Fuels References" sheetId="6" r:id="rId12"/>
    <sheet name="GHG Impact Summary" sheetId="4" r:id="rId13"/>
    <sheet name="SCC in 2021 CDN" sheetId="2" r:id="rId14"/>
    <sheet name="Criteria Pollutants" sheetId="27" r:id="rId15"/>
    <sheet name="Electric Emissions Intensity" sheetId="3" r:id="rId16"/>
    <sheet name="Host Customer Impacts" sheetId="13" r:id="rId17"/>
    <sheet name="Host Customer by DER Matrix" sheetId="14" r:id="rId18"/>
    <sheet name="Jurisdiction Table " sheetId="16" r:id="rId19"/>
    <sheet name="Residential Heat Pump Measu (2)" sheetId="20" r:id="rId20"/>
    <sheet name="Other Fuels References (2)" sheetId="21" r:id="rId21"/>
    <sheet name="GHG Impact Summary (2)" sheetId="22" r:id="rId22"/>
    <sheet name="SCC in 2021 CDN (2)" sheetId="23" r:id="rId23"/>
    <sheet name="Electric Emissions Intensit (2)" sheetId="24" r:id="rId24"/>
    <sheet name="Other Fuel Impact Heating O (2)" sheetId="25" r:id="rId25"/>
    <sheet name="Levelized NEIs" sheetId="19" r:id="rId26"/>
    <sheet name="Electricity emissions" sheetId="41" r:id="rId27"/>
  </sheets>
  <definedNames>
    <definedName name="AWT">#REF!</definedName>
    <definedName name="BBW">#REF!</definedName>
    <definedName name="CAS">#REF!</definedName>
    <definedName name="CASnum">#REF!:INDEX(#REF!,COUNTIF(#REF!,"?*"))</definedName>
    <definedName name="Choose_one">#REF!</definedName>
    <definedName name="CurrentYr1">#REF!</definedName>
    <definedName name="CurrentYr2">#REF!</definedName>
    <definedName name="CurrentYr3">#REF!</definedName>
    <definedName name="Date_of_Filing">#REF!</definedName>
    <definedName name="Dist_Comp">#REF!</definedName>
    <definedName name="DW">#REF!</definedName>
    <definedName name="FOcom">#REF!</definedName>
    <definedName name="FOfive">#REF!</definedName>
    <definedName name="FOind">#REF!</definedName>
    <definedName name="FOone">#REF!</definedName>
    <definedName name="FOsix">#REF!</definedName>
    <definedName name="FOtwo">#REF!</definedName>
    <definedName name="GHGyear1">#REF!</definedName>
    <definedName name="GHGyear2">#REF!</definedName>
    <definedName name="NominalDR">#REF!</definedName>
    <definedName name="PA">#REF!</definedName>
    <definedName name="Particulate">#REF!</definedName>
    <definedName name="WW">#REF!</definedName>
    <definedName name="Year1">#REF!</definedName>
    <definedName name="Year2">#REF!</definedName>
    <definedName name="Year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 i="15" l="1"/>
  <c r="X31" i="41"/>
  <c r="X30" i="41"/>
  <c r="X29" i="41"/>
  <c r="X28" i="41"/>
  <c r="X27" i="41"/>
  <c r="X26" i="41"/>
  <c r="X25" i="41"/>
  <c r="X24" i="41"/>
  <c r="X23" i="41"/>
  <c r="X22" i="41"/>
  <c r="X21" i="41"/>
  <c r="X20" i="41"/>
  <c r="X19" i="41"/>
  <c r="X18" i="41"/>
  <c r="X17" i="41"/>
  <c r="X16" i="41"/>
  <c r="X15" i="41"/>
  <c r="X14" i="41"/>
  <c r="X13" i="41"/>
  <c r="X12" i="41"/>
  <c r="X11" i="41"/>
  <c r="X10" i="41"/>
  <c r="X9" i="41"/>
  <c r="X8" i="41"/>
  <c r="X7" i="41"/>
  <c r="X6" i="41"/>
  <c r="W31" i="41"/>
  <c r="W30" i="41"/>
  <c r="W29" i="41"/>
  <c r="W28" i="41"/>
  <c r="W27" i="41"/>
  <c r="W26" i="41"/>
  <c r="W25" i="41"/>
  <c r="W24" i="41"/>
  <c r="W23" i="41"/>
  <c r="W22" i="41"/>
  <c r="W21" i="41"/>
  <c r="W20" i="41"/>
  <c r="W19" i="41"/>
  <c r="W18" i="41"/>
  <c r="W17" i="41"/>
  <c r="W16" i="41"/>
  <c r="W15" i="41"/>
  <c r="W14" i="41"/>
  <c r="W13" i="41"/>
  <c r="W12" i="41"/>
  <c r="W11" i="41"/>
  <c r="W10" i="41"/>
  <c r="W9" i="41"/>
  <c r="W8" i="41"/>
  <c r="W7" i="41"/>
  <c r="W6" i="41"/>
  <c r="H3" i="1"/>
  <c r="F3" i="1"/>
  <c r="T31" i="41" l="1"/>
  <c r="T30" i="41"/>
  <c r="T29" i="41"/>
  <c r="T28" i="41"/>
  <c r="T27" i="41"/>
  <c r="T26" i="41"/>
  <c r="T25" i="41"/>
  <c r="T24" i="41"/>
  <c r="T23" i="41"/>
  <c r="T22" i="41"/>
  <c r="T21" i="41"/>
  <c r="T20" i="41"/>
  <c r="T19" i="41"/>
  <c r="T18" i="41"/>
  <c r="T17" i="41"/>
  <c r="T16" i="41"/>
  <c r="T15" i="41"/>
  <c r="T14" i="41"/>
  <c r="T13" i="41"/>
  <c r="T12" i="41"/>
  <c r="T11" i="41"/>
  <c r="T10" i="41"/>
  <c r="T9" i="41"/>
  <c r="T8" i="41"/>
  <c r="T7" i="41"/>
  <c r="T6" i="41"/>
  <c r="S31" i="41"/>
  <c r="S30" i="41"/>
  <c r="S29" i="41"/>
  <c r="S28" i="41"/>
  <c r="S27" i="41"/>
  <c r="S26" i="41"/>
  <c r="S25" i="41"/>
  <c r="S24" i="41"/>
  <c r="S23" i="41"/>
  <c r="S22" i="41"/>
  <c r="S21" i="41"/>
  <c r="S20" i="41"/>
  <c r="S19" i="41"/>
  <c r="S18" i="41"/>
  <c r="S17" i="41"/>
  <c r="S16" i="41"/>
  <c r="S15" i="41"/>
  <c r="S14" i="41"/>
  <c r="S13" i="41"/>
  <c r="S12" i="41"/>
  <c r="S11" i="41"/>
  <c r="S10" i="41"/>
  <c r="S9" i="41"/>
  <c r="S8" i="41"/>
  <c r="S7" i="41"/>
  <c r="S6" i="41"/>
  <c r="Q31" i="41"/>
  <c r="Q30" i="41"/>
  <c r="Q29" i="41"/>
  <c r="Q28" i="41"/>
  <c r="Q27" i="41"/>
  <c r="Q26" i="41"/>
  <c r="Q25" i="41"/>
  <c r="Q24" i="41"/>
  <c r="Q23" i="41"/>
  <c r="Q22" i="41"/>
  <c r="Q21" i="41"/>
  <c r="Q20" i="41"/>
  <c r="Q19" i="41"/>
  <c r="Q18" i="41"/>
  <c r="Q17" i="41"/>
  <c r="Q16" i="41"/>
  <c r="Q15" i="41"/>
  <c r="Q14" i="41"/>
  <c r="Q13" i="41"/>
  <c r="Q12" i="41"/>
  <c r="Q11" i="41"/>
  <c r="Q10" i="41"/>
  <c r="Q9" i="41"/>
  <c r="Q8" i="41"/>
  <c r="Q7" i="41"/>
  <c r="Q6" i="41"/>
  <c r="P31" i="41"/>
  <c r="P30" i="41"/>
  <c r="P29" i="41"/>
  <c r="P28" i="41"/>
  <c r="P27" i="41"/>
  <c r="P26" i="41"/>
  <c r="P25" i="41"/>
  <c r="P24" i="41"/>
  <c r="P23" i="41"/>
  <c r="P22" i="41"/>
  <c r="P21" i="41"/>
  <c r="P20" i="41"/>
  <c r="P19" i="41"/>
  <c r="P18" i="41"/>
  <c r="P17" i="41"/>
  <c r="P16" i="41"/>
  <c r="P15" i="41"/>
  <c r="P14" i="41"/>
  <c r="P13" i="41"/>
  <c r="P12" i="41"/>
  <c r="P11" i="41"/>
  <c r="P10" i="41"/>
  <c r="P9" i="41"/>
  <c r="P8" i="41"/>
  <c r="P7" i="41"/>
  <c r="P6" i="41"/>
  <c r="L24" i="7" l="1"/>
  <c r="L25" i="7" s="1"/>
  <c r="L26" i="7" s="1"/>
  <c r="L27" i="7" s="1"/>
  <c r="L28" i="7" s="1"/>
  <c r="L29" i="7" s="1"/>
  <c r="L30" i="7" s="1"/>
  <c r="L31" i="7" s="1"/>
  <c r="L32" i="7" s="1"/>
  <c r="L33" i="7" s="1"/>
  <c r="L34" i="7" s="1"/>
  <c r="L35" i="7" s="1"/>
  <c r="L36" i="7" s="1"/>
  <c r="L37" i="7" s="1"/>
  <c r="L38" i="7" s="1"/>
  <c r="L39" i="7" s="1"/>
  <c r="L23" i="7"/>
  <c r="L31" i="5"/>
  <c r="L32" i="5" s="1"/>
  <c r="L33" i="5" s="1"/>
  <c r="L34" i="5" s="1"/>
  <c r="L35" i="5" s="1"/>
  <c r="L36" i="5" s="1"/>
  <c r="L37" i="5" s="1"/>
  <c r="L38" i="5" s="1"/>
  <c r="L39" i="5" s="1"/>
  <c r="L40" i="5" s="1"/>
  <c r="L41" i="5" s="1"/>
  <c r="L42" i="5" s="1"/>
  <c r="L43" i="5" s="1"/>
  <c r="L44" i="5" s="1"/>
  <c r="L45" i="5" s="1"/>
  <c r="L46" i="5" s="1"/>
  <c r="L47" i="5" s="1"/>
  <c r="H39" i="10"/>
  <c r="G49" i="17" l="1"/>
  <c r="G48" i="17"/>
  <c r="G47" i="17"/>
  <c r="G46" i="17"/>
  <c r="G45" i="17"/>
  <c r="G44" i="17"/>
  <c r="G43" i="17"/>
  <c r="G42" i="17"/>
  <c r="G41" i="17"/>
  <c r="G40" i="17"/>
  <c r="H27" i="17"/>
  <c r="P19" i="22"/>
  <c r="P18" i="22"/>
  <c r="P17" i="22"/>
  <c r="P16" i="22"/>
  <c r="P15" i="22"/>
  <c r="P14" i="22"/>
  <c r="P13" i="22"/>
  <c r="P12" i="22"/>
  <c r="P11" i="22"/>
  <c r="P10" i="22"/>
  <c r="P9" i="22"/>
  <c r="P8" i="22"/>
  <c r="P7" i="22"/>
  <c r="P6" i="22"/>
  <c r="P5" i="22"/>
  <c r="P4" i="22"/>
  <c r="U37" i="31" l="1"/>
  <c r="U36" i="31"/>
  <c r="U35" i="31"/>
  <c r="U34" i="31"/>
  <c r="U33" i="31"/>
  <c r="U32" i="31"/>
  <c r="U27" i="31"/>
  <c r="U26" i="31"/>
  <c r="U25" i="31"/>
  <c r="U24" i="31"/>
  <c r="U23" i="31"/>
  <c r="U22" i="31"/>
  <c r="U21" i="31"/>
  <c r="U20" i="31"/>
  <c r="U19" i="31"/>
  <c r="U18" i="31"/>
  <c r="U17" i="31"/>
  <c r="U15" i="31"/>
  <c r="U14" i="31"/>
  <c r="U12" i="31"/>
  <c r="U11" i="31"/>
  <c r="U9" i="31"/>
  <c r="U8" i="31"/>
  <c r="U6" i="31"/>
  <c r="U5" i="31"/>
  <c r="P22" i="31"/>
  <c r="P21" i="31"/>
  <c r="P20" i="31"/>
  <c r="P15" i="31"/>
  <c r="P14" i="31"/>
  <c r="P12" i="31"/>
  <c r="P11" i="31"/>
  <c r="O10" i="31"/>
  <c r="P9" i="31"/>
  <c r="P8" i="31"/>
  <c r="P6" i="31"/>
  <c r="P5" i="31"/>
  <c r="J31" i="31"/>
  <c r="I31" i="31"/>
  <c r="H31" i="31"/>
  <c r="J30" i="31"/>
  <c r="I30" i="31"/>
  <c r="H30" i="31"/>
  <c r="J17" i="31"/>
  <c r="P19" i="31" s="1"/>
  <c r="I17" i="31"/>
  <c r="I25" i="31" s="1"/>
  <c r="H17" i="31"/>
  <c r="H25" i="31" s="1"/>
  <c r="J13" i="31"/>
  <c r="O16" i="31" s="1"/>
  <c r="J11" i="31"/>
  <c r="O13" i="31" s="1"/>
  <c r="J6" i="31"/>
  <c r="P17" i="31" l="1"/>
  <c r="P18" i="31"/>
  <c r="J31" i="10" l="1"/>
  <c r="I31" i="10"/>
  <c r="H31" i="10"/>
  <c r="D43" i="1"/>
  <c r="J30" i="10"/>
  <c r="I30" i="10"/>
  <c r="H30" i="10"/>
  <c r="J17" i="10"/>
  <c r="I17" i="10"/>
  <c r="H17" i="10"/>
  <c r="D40" i="1"/>
  <c r="C32" i="27"/>
  <c r="C33" i="27" s="1"/>
  <c r="C34" i="27" s="1"/>
  <c r="C35" i="27" s="1"/>
  <c r="C36" i="27" s="1"/>
  <c r="C37" i="27" s="1"/>
  <c r="C38" i="27" s="1"/>
  <c r="C39" i="27" s="1"/>
  <c r="C40" i="27" s="1"/>
  <c r="C41" i="27" s="1"/>
  <c r="C42" i="27" s="1"/>
  <c r="C43" i="27" s="1"/>
  <c r="C44" i="27" s="1"/>
  <c r="D31" i="27"/>
  <c r="D32" i="27" s="1"/>
  <c r="D33" i="27" s="1"/>
  <c r="D34" i="27" s="1"/>
  <c r="D35" i="27" s="1"/>
  <c r="D36" i="27" s="1"/>
  <c r="D37" i="27" s="1"/>
  <c r="D38" i="27" s="1"/>
  <c r="D39" i="27" s="1"/>
  <c r="D40" i="27" s="1"/>
  <c r="D41" i="27" s="1"/>
  <c r="D42" i="27" s="1"/>
  <c r="D43" i="27" s="1"/>
  <c r="D44" i="27" s="1"/>
  <c r="C31" i="27"/>
  <c r="D12" i="27"/>
  <c r="D13" i="27" s="1"/>
  <c r="D14" i="27" s="1"/>
  <c r="D15" i="27" s="1"/>
  <c r="D16" i="27" s="1"/>
  <c r="D17" i="27" s="1"/>
  <c r="D18" i="27" s="1"/>
  <c r="D19" i="27" s="1"/>
  <c r="D20" i="27" s="1"/>
  <c r="D21" i="27" s="1"/>
  <c r="D22" i="27" s="1"/>
  <c r="D23" i="27" s="1"/>
  <c r="D24" i="27" s="1"/>
  <c r="D25" i="27" s="1"/>
  <c r="C12" i="27"/>
  <c r="C13" i="27" s="1"/>
  <c r="C14" i="27" s="1"/>
  <c r="C15" i="27" s="1"/>
  <c r="C16" i="27" s="1"/>
  <c r="C17" i="27" s="1"/>
  <c r="C18" i="27" s="1"/>
  <c r="C19" i="27" s="1"/>
  <c r="C20" i="27" s="1"/>
  <c r="C21" i="27" s="1"/>
  <c r="C22" i="27" s="1"/>
  <c r="C23" i="27" s="1"/>
  <c r="C24" i="27" s="1"/>
  <c r="C25" i="27" s="1"/>
  <c r="F6" i="27"/>
  <c r="D6" i="27"/>
  <c r="F27" i="22"/>
  <c r="D27" i="22"/>
  <c r="D35" i="19" l="1"/>
  <c r="C49" i="19"/>
  <c r="AA26" i="25"/>
  <c r="H6" i="17"/>
  <c r="D4" i="19"/>
  <c r="C39" i="19" s="1"/>
  <c r="O47" i="25" l="1"/>
  <c r="O46" i="25"/>
  <c r="O45" i="25"/>
  <c r="O44" i="25"/>
  <c r="O43" i="25"/>
  <c r="O42" i="25"/>
  <c r="O41" i="25"/>
  <c r="O40" i="25"/>
  <c r="O39" i="25"/>
  <c r="O38" i="25"/>
  <c r="O37" i="25"/>
  <c r="O36" i="25"/>
  <c r="O35" i="25"/>
  <c r="O34" i="25"/>
  <c r="J34" i="25"/>
  <c r="X34" i="25" s="1"/>
  <c r="D34" i="25"/>
  <c r="D35" i="25" s="1"/>
  <c r="AB33" i="25"/>
  <c r="AB48" i="25" s="1"/>
  <c r="O33" i="25"/>
  <c r="J33" i="25"/>
  <c r="X33" i="25" s="1"/>
  <c r="F31" i="25"/>
  <c r="E31" i="25"/>
  <c r="E32" i="25" s="1"/>
  <c r="E33" i="25" s="1"/>
  <c r="E34" i="25" s="1"/>
  <c r="E35" i="25" s="1"/>
  <c r="E36" i="25" s="1"/>
  <c r="E37" i="25" s="1"/>
  <c r="E38" i="25" s="1"/>
  <c r="E39" i="25" s="1"/>
  <c r="E40" i="25" s="1"/>
  <c r="E41" i="25" s="1"/>
  <c r="E42" i="25" s="1"/>
  <c r="E43" i="25" s="1"/>
  <c r="E44" i="25" s="1"/>
  <c r="E45" i="25" s="1"/>
  <c r="E46" i="25" s="1"/>
  <c r="E47" i="25" s="1"/>
  <c r="AB28" i="25"/>
  <c r="AA27" i="25"/>
  <c r="E23" i="25"/>
  <c r="F30" i="25" s="1"/>
  <c r="H30" i="25" s="1"/>
  <c r="F14" i="25"/>
  <c r="F15" i="25" s="1"/>
  <c r="E14" i="25"/>
  <c r="E15" i="25" s="1"/>
  <c r="E16" i="25" s="1"/>
  <c r="E17" i="25" s="1"/>
  <c r="E18" i="25" s="1"/>
  <c r="E19" i="25" s="1"/>
  <c r="E20" i="25" s="1"/>
  <c r="E7" i="25"/>
  <c r="E6" i="25"/>
  <c r="H18" i="24"/>
  <c r="H17" i="24"/>
  <c r="H16" i="24"/>
  <c r="H15" i="24"/>
  <c r="H14" i="24"/>
  <c r="H13" i="24"/>
  <c r="H12" i="24"/>
  <c r="E12" i="24"/>
  <c r="E13" i="24" s="1"/>
  <c r="E14" i="24" s="1"/>
  <c r="E15" i="24" s="1"/>
  <c r="E16" i="24" s="1"/>
  <c r="E17" i="24" s="1"/>
  <c r="E18" i="24" s="1"/>
  <c r="H11" i="24"/>
  <c r="H10" i="24"/>
  <c r="H9" i="24"/>
  <c r="H8" i="24"/>
  <c r="E8" i="24"/>
  <c r="E9" i="24" s="1"/>
  <c r="E10" i="24" s="1"/>
  <c r="E11" i="24" s="1"/>
  <c r="H7" i="24"/>
  <c r="E7" i="24"/>
  <c r="H6" i="24"/>
  <c r="E6" i="24"/>
  <c r="H5" i="24"/>
  <c r="E5" i="24"/>
  <c r="H4" i="24"/>
  <c r="I18" i="22"/>
  <c r="L18" i="22" s="1"/>
  <c r="I17" i="22"/>
  <c r="L17" i="22" s="1"/>
  <c r="I16" i="22"/>
  <c r="L16" i="22" s="1"/>
  <c r="I15" i="22"/>
  <c r="L15" i="22" s="1"/>
  <c r="I14" i="22"/>
  <c r="L14" i="22" s="1"/>
  <c r="I13" i="22"/>
  <c r="L13" i="22" s="1"/>
  <c r="I12" i="22"/>
  <c r="L12" i="22" s="1"/>
  <c r="I11" i="22"/>
  <c r="L11" i="22" s="1"/>
  <c r="I10" i="22"/>
  <c r="L10" i="22" s="1"/>
  <c r="I9" i="22"/>
  <c r="L9" i="22" s="1"/>
  <c r="I8" i="22"/>
  <c r="L8" i="22" s="1"/>
  <c r="I7" i="22"/>
  <c r="L7" i="22" s="1"/>
  <c r="I6" i="22"/>
  <c r="L6" i="22" s="1"/>
  <c r="I5" i="22"/>
  <c r="L5" i="22" s="1"/>
  <c r="C5" i="22"/>
  <c r="C6" i="22" s="1"/>
  <c r="C7" i="22" s="1"/>
  <c r="C8" i="22" s="1"/>
  <c r="C9" i="22" s="1"/>
  <c r="C10" i="22" s="1"/>
  <c r="C11" i="22" s="1"/>
  <c r="C12" i="22" s="1"/>
  <c r="C13" i="22" s="1"/>
  <c r="C14" i="22" s="1"/>
  <c r="C15" i="22" s="1"/>
  <c r="C16" i="22" s="1"/>
  <c r="C17" i="22" s="1"/>
  <c r="C18" i="22" s="1"/>
  <c r="B5" i="22"/>
  <c r="M4" i="22"/>
  <c r="I4" i="22"/>
  <c r="L4" i="22" s="1"/>
  <c r="D12" i="20"/>
  <c r="D13" i="20" s="1"/>
  <c r="F12" i="22" s="1"/>
  <c r="D10" i="20"/>
  <c r="D9" i="20"/>
  <c r="D5" i="20"/>
  <c r="C21" i="19"/>
  <c r="D21" i="19" s="1"/>
  <c r="E21" i="19" s="1"/>
  <c r="F21" i="19" s="1"/>
  <c r="D7" i="19"/>
  <c r="H19" i="17"/>
  <c r="C18" i="19" s="1"/>
  <c r="E75" i="15"/>
  <c r="E65" i="15"/>
  <c r="S62" i="15"/>
  <c r="T62" i="15" s="1"/>
  <c r="U62" i="15" s="1"/>
  <c r="V62" i="15" s="1"/>
  <c r="W62" i="15" s="1"/>
  <c r="X62" i="15" s="1"/>
  <c r="Y62" i="15" s="1"/>
  <c r="Z62" i="15" s="1"/>
  <c r="AA62" i="15" s="1"/>
  <c r="AB62" i="15" s="1"/>
  <c r="AC62" i="15" s="1"/>
  <c r="AD62" i="15" s="1"/>
  <c r="AE62" i="15" s="1"/>
  <c r="AF62" i="15" s="1"/>
  <c r="AG62" i="15" s="1"/>
  <c r="AH62" i="15" s="1"/>
  <c r="AI62" i="15" s="1"/>
  <c r="AJ62" i="15" s="1"/>
  <c r="AK62" i="15" s="1"/>
  <c r="AL62" i="15" s="1"/>
  <c r="AM62" i="15" s="1"/>
  <c r="AN62" i="15" s="1"/>
  <c r="AO62" i="15" s="1"/>
  <c r="AP62" i="15" s="1"/>
  <c r="S49" i="15"/>
  <c r="T49" i="15" s="1"/>
  <c r="U49" i="15" s="1"/>
  <c r="V49" i="15" s="1"/>
  <c r="W49" i="15" s="1"/>
  <c r="X49" i="15" s="1"/>
  <c r="Y49" i="15" s="1"/>
  <c r="Z49" i="15" s="1"/>
  <c r="AA49" i="15" s="1"/>
  <c r="AB49" i="15" s="1"/>
  <c r="AC49" i="15" s="1"/>
  <c r="AD49" i="15" s="1"/>
  <c r="AE49" i="15" s="1"/>
  <c r="AF49" i="15" s="1"/>
  <c r="AG49" i="15" s="1"/>
  <c r="AH49" i="15" s="1"/>
  <c r="AI49" i="15" s="1"/>
  <c r="AJ49" i="15" s="1"/>
  <c r="AK49" i="15" s="1"/>
  <c r="AL49" i="15" s="1"/>
  <c r="AM49" i="15" s="1"/>
  <c r="AN49" i="15" s="1"/>
  <c r="AO49" i="15" s="1"/>
  <c r="AP49" i="15" s="1"/>
  <c r="E48" i="15"/>
  <c r="E49" i="15" s="1"/>
  <c r="E46" i="15"/>
  <c r="E45" i="15"/>
  <c r="E43" i="15"/>
  <c r="S36" i="15"/>
  <c r="T36" i="15" s="1"/>
  <c r="U36" i="15" s="1"/>
  <c r="V36" i="15" s="1"/>
  <c r="W36" i="15" s="1"/>
  <c r="X36" i="15" s="1"/>
  <c r="Y36" i="15" s="1"/>
  <c r="Z36" i="15" s="1"/>
  <c r="AA36" i="15" s="1"/>
  <c r="AB36" i="15" s="1"/>
  <c r="AC36" i="15" s="1"/>
  <c r="AD36" i="15" s="1"/>
  <c r="AE36" i="15" s="1"/>
  <c r="AF36" i="15" s="1"/>
  <c r="AG36" i="15" s="1"/>
  <c r="AH36" i="15" s="1"/>
  <c r="AI36" i="15" s="1"/>
  <c r="AJ36" i="15" s="1"/>
  <c r="AK36" i="15" s="1"/>
  <c r="AL36" i="15" s="1"/>
  <c r="AM36" i="15" s="1"/>
  <c r="AN36" i="15" s="1"/>
  <c r="AO36" i="15" s="1"/>
  <c r="AP36" i="15" s="1"/>
  <c r="E28" i="15"/>
  <c r="E31" i="15" s="1"/>
  <c r="E26" i="15"/>
  <c r="E57" i="15" s="1"/>
  <c r="E61" i="15" s="1"/>
  <c r="S24" i="15"/>
  <c r="T24" i="15" s="1"/>
  <c r="U24" i="15" s="1"/>
  <c r="V24" i="15" s="1"/>
  <c r="W24" i="15" s="1"/>
  <c r="X24" i="15" s="1"/>
  <c r="Y24" i="15" s="1"/>
  <c r="Z24" i="15" s="1"/>
  <c r="AA24" i="15" s="1"/>
  <c r="AB24" i="15" s="1"/>
  <c r="AC24" i="15" s="1"/>
  <c r="AD24" i="15" s="1"/>
  <c r="AE24" i="15" s="1"/>
  <c r="AF24" i="15" s="1"/>
  <c r="AG24" i="15" s="1"/>
  <c r="AH24" i="15" s="1"/>
  <c r="AI24" i="15" s="1"/>
  <c r="AJ24" i="15" s="1"/>
  <c r="AK24" i="15" s="1"/>
  <c r="AL24" i="15" s="1"/>
  <c r="AM24" i="15" s="1"/>
  <c r="AN24" i="15" s="1"/>
  <c r="AO24" i="15" s="1"/>
  <c r="AP24" i="15" s="1"/>
  <c r="R64" i="15" l="1"/>
  <c r="S64" i="15" s="1"/>
  <c r="E69" i="15"/>
  <c r="Q69" i="15"/>
  <c r="Q43" i="15"/>
  <c r="Q56" i="15"/>
  <c r="Q31" i="15"/>
  <c r="E35" i="15"/>
  <c r="E36" i="15" s="1"/>
  <c r="E32" i="15"/>
  <c r="E58" i="15"/>
  <c r="E62" i="15" s="1"/>
  <c r="R66" i="15" s="1"/>
  <c r="R72" i="15"/>
  <c r="E30" i="15"/>
  <c r="D18" i="19"/>
  <c r="E18" i="19" s="1"/>
  <c r="F18" i="19" s="1"/>
  <c r="F8" i="22"/>
  <c r="M37" i="25" s="1"/>
  <c r="F18" i="22"/>
  <c r="M47" i="25" s="1"/>
  <c r="AO64" i="15"/>
  <c r="AG64" i="15"/>
  <c r="AO51" i="15"/>
  <c r="AG51" i="15"/>
  <c r="AN64" i="15"/>
  <c r="AF64" i="15"/>
  <c r="AN51" i="15"/>
  <c r="AF51" i="15"/>
  <c r="AM64" i="15"/>
  <c r="AE64" i="15"/>
  <c r="AM51" i="15"/>
  <c r="AE51" i="15"/>
  <c r="AL64" i="15"/>
  <c r="AD64" i="15"/>
  <c r="AL51" i="15"/>
  <c r="AD51" i="15"/>
  <c r="AI64" i="15"/>
  <c r="AJ51" i="15"/>
  <c r="AL38" i="15"/>
  <c r="AD38" i="15"/>
  <c r="V38" i="15"/>
  <c r="AN26" i="15"/>
  <c r="AF26" i="15"/>
  <c r="X26" i="15"/>
  <c r="AD26" i="15"/>
  <c r="AN38" i="15"/>
  <c r="Z26" i="15"/>
  <c r="AH64" i="15"/>
  <c r="AI51" i="15"/>
  <c r="AK38" i="15"/>
  <c r="AC38" i="15"/>
  <c r="U38" i="15"/>
  <c r="AM26" i="15"/>
  <c r="AE26" i="15"/>
  <c r="W26" i="15"/>
  <c r="AL26" i="15"/>
  <c r="V26" i="15"/>
  <c r="AP51" i="15"/>
  <c r="AF38" i="15"/>
  <c r="AH26" i="15"/>
  <c r="Y26" i="15"/>
  <c r="AC64" i="15"/>
  <c r="AH51" i="15"/>
  <c r="AJ38" i="15"/>
  <c r="AB38" i="15"/>
  <c r="T38" i="15"/>
  <c r="AP26" i="15"/>
  <c r="AG26" i="15"/>
  <c r="AB64" i="15"/>
  <c r="AC51" i="15"/>
  <c r="AI38" i="15"/>
  <c r="AA38" i="15"/>
  <c r="S38" i="15"/>
  <c r="AK26" i="15"/>
  <c r="AC26" i="15"/>
  <c r="U26" i="15"/>
  <c r="W38" i="15"/>
  <c r="AB51" i="15"/>
  <c r="AP38" i="15"/>
  <c r="AH38" i="15"/>
  <c r="Z38" i="15"/>
  <c r="R38" i="15"/>
  <c r="Q38" i="15" s="1"/>
  <c r="AJ26" i="15"/>
  <c r="AB26" i="15"/>
  <c r="T26" i="15"/>
  <c r="AK64" i="15"/>
  <c r="X38" i="15"/>
  <c r="AJ64" i="15"/>
  <c r="AK51" i="15"/>
  <c r="AM38" i="15"/>
  <c r="AO26" i="15"/>
  <c r="AP64" i="15"/>
  <c r="AO38" i="15"/>
  <c r="AG38" i="15"/>
  <c r="Y38" i="15"/>
  <c r="AI26" i="15"/>
  <c r="AA26" i="15"/>
  <c r="S26" i="15"/>
  <c r="R26" i="15"/>
  <c r="Q26" i="15" s="1"/>
  <c r="AE38" i="15"/>
  <c r="R40" i="15"/>
  <c r="R28" i="15"/>
  <c r="M41" i="25"/>
  <c r="G12" i="22"/>
  <c r="S25" i="15"/>
  <c r="T25" i="15" s="1"/>
  <c r="U25" i="15" s="1"/>
  <c r="V25" i="15" s="1"/>
  <c r="W25" i="15" s="1"/>
  <c r="X25" i="15" s="1"/>
  <c r="Y25" i="15" s="1"/>
  <c r="Z25" i="15" s="1"/>
  <c r="AA25" i="15" s="1"/>
  <c r="AB25" i="15" s="1"/>
  <c r="AC25" i="15" s="1"/>
  <c r="AD25" i="15" s="1"/>
  <c r="AE25" i="15" s="1"/>
  <c r="AF25" i="15" s="1"/>
  <c r="AG25" i="15" s="1"/>
  <c r="AH25" i="15" s="1"/>
  <c r="AI25" i="15" s="1"/>
  <c r="AJ25" i="15" s="1"/>
  <c r="AK25" i="15" s="1"/>
  <c r="AL25" i="15" s="1"/>
  <c r="AM25" i="15" s="1"/>
  <c r="AN25" i="15" s="1"/>
  <c r="AO25" i="15" s="1"/>
  <c r="AP25" i="15" s="1"/>
  <c r="R68" i="15"/>
  <c r="Q68" i="15" s="1"/>
  <c r="R55" i="15"/>
  <c r="Q55" i="15" s="1"/>
  <c r="R42" i="15"/>
  <c r="Q42" i="15" s="1"/>
  <c r="R30" i="15"/>
  <c r="Q30" i="15" s="1"/>
  <c r="R37" i="15"/>
  <c r="G18" i="22"/>
  <c r="F17" i="22"/>
  <c r="F15" i="22"/>
  <c r="F13" i="22"/>
  <c r="F11" i="22"/>
  <c r="F9" i="22"/>
  <c r="F7" i="22"/>
  <c r="F5" i="22"/>
  <c r="F6" i="22"/>
  <c r="C31" i="25"/>
  <c r="J35" i="25"/>
  <c r="D36" i="25"/>
  <c r="E44" i="15"/>
  <c r="R51" i="15"/>
  <c r="F4" i="22"/>
  <c r="F16" i="22"/>
  <c r="F16" i="25"/>
  <c r="F32" i="25"/>
  <c r="C32" i="25" s="1"/>
  <c r="G31" i="25"/>
  <c r="F10" i="22"/>
  <c r="D18" i="22"/>
  <c r="I47" i="25" s="1"/>
  <c r="D16" i="22"/>
  <c r="I45" i="25" s="1"/>
  <c r="D14" i="22"/>
  <c r="I43" i="25" s="1"/>
  <c r="D12" i="22"/>
  <c r="I41" i="25" s="1"/>
  <c r="D10" i="22"/>
  <c r="I39" i="25" s="1"/>
  <c r="D8" i="22"/>
  <c r="I37" i="25" s="1"/>
  <c r="D6" i="22"/>
  <c r="I35" i="25" s="1"/>
  <c r="D4" i="22"/>
  <c r="I33" i="25" s="1"/>
  <c r="D17" i="22"/>
  <c r="I46" i="25" s="1"/>
  <c r="D15" i="22"/>
  <c r="I44" i="25" s="1"/>
  <c r="D13" i="22"/>
  <c r="I42" i="25" s="1"/>
  <c r="D11" i="22"/>
  <c r="I40" i="25" s="1"/>
  <c r="D9" i="22"/>
  <c r="I38" i="25" s="1"/>
  <c r="D7" i="22"/>
  <c r="I36" i="25" s="1"/>
  <c r="D5" i="22"/>
  <c r="I34" i="25" s="1"/>
  <c r="D7" i="20"/>
  <c r="B6" i="22"/>
  <c r="M5" i="22"/>
  <c r="F14" i="22"/>
  <c r="AA28" i="25"/>
  <c r="AA33" i="25" s="1"/>
  <c r="R33" i="25"/>
  <c r="W33" i="25"/>
  <c r="R34" i="25"/>
  <c r="W34" i="25"/>
  <c r="T64" i="15" l="1"/>
  <c r="U64" i="15" s="1"/>
  <c r="V64" i="15" s="1"/>
  <c r="W64" i="15" s="1"/>
  <c r="X64" i="15" s="1"/>
  <c r="Y64" i="15" s="1"/>
  <c r="Z64" i="15" s="1"/>
  <c r="AA64" i="15" s="1"/>
  <c r="Q64" i="15"/>
  <c r="R53" i="15"/>
  <c r="Q25" i="15"/>
  <c r="R65" i="15"/>
  <c r="Q65" i="15" s="1"/>
  <c r="R27" i="15"/>
  <c r="Q27" i="15" s="1"/>
  <c r="R52" i="15"/>
  <c r="Q52" i="15" s="1"/>
  <c r="R39" i="15"/>
  <c r="Q39" i="15" s="1"/>
  <c r="R41" i="15"/>
  <c r="R29" i="15"/>
  <c r="R73" i="15"/>
  <c r="S72" i="15"/>
  <c r="G8" i="22"/>
  <c r="AA48" i="25"/>
  <c r="H17" i="17"/>
  <c r="C17" i="19" s="1"/>
  <c r="J36" i="25"/>
  <c r="D37" i="25"/>
  <c r="G13" i="22"/>
  <c r="M42" i="25"/>
  <c r="G32" i="25"/>
  <c r="H31" i="25"/>
  <c r="X35" i="25"/>
  <c r="W35" i="25"/>
  <c r="R35" i="25"/>
  <c r="G15" i="22"/>
  <c r="M44" i="25"/>
  <c r="M43" i="25"/>
  <c r="G14" i="22"/>
  <c r="G17" i="22"/>
  <c r="M46" i="25"/>
  <c r="S28" i="15"/>
  <c r="T28" i="15" s="1"/>
  <c r="U28" i="15" s="1"/>
  <c r="V28" i="15" s="1"/>
  <c r="W28" i="15" s="1"/>
  <c r="X28" i="15" s="1"/>
  <c r="Y28" i="15" s="1"/>
  <c r="Z28" i="15" s="1"/>
  <c r="AA28" i="15" s="1"/>
  <c r="AB28" i="15" s="1"/>
  <c r="AC28" i="15" s="1"/>
  <c r="AD28" i="15" s="1"/>
  <c r="AE28" i="15" s="1"/>
  <c r="AF28" i="15" s="1"/>
  <c r="AG28" i="15" s="1"/>
  <c r="AH28" i="15" s="1"/>
  <c r="AI28" i="15" s="1"/>
  <c r="AJ28" i="15" s="1"/>
  <c r="AK28" i="15" s="1"/>
  <c r="AL28" i="15" s="1"/>
  <c r="AM28" i="15" s="1"/>
  <c r="AN28" i="15" s="1"/>
  <c r="AO28" i="15" s="1"/>
  <c r="AP28" i="15" s="1"/>
  <c r="M6" i="22"/>
  <c r="B7" i="22"/>
  <c r="F17" i="25"/>
  <c r="J4" i="22"/>
  <c r="F33" i="25"/>
  <c r="C33" i="25" s="1"/>
  <c r="M35" i="25"/>
  <c r="N35" i="25" s="1"/>
  <c r="G6" i="22"/>
  <c r="S40" i="15"/>
  <c r="T40" i="15" s="1"/>
  <c r="U40" i="15" s="1"/>
  <c r="V40" i="15" s="1"/>
  <c r="W40" i="15" s="1"/>
  <c r="X40" i="15" s="1"/>
  <c r="Y40" i="15" s="1"/>
  <c r="Z40" i="15" s="1"/>
  <c r="AA40" i="15" s="1"/>
  <c r="AB40" i="15" s="1"/>
  <c r="AC40" i="15" s="1"/>
  <c r="AD40" i="15" s="1"/>
  <c r="AE40" i="15" s="1"/>
  <c r="AF40" i="15" s="1"/>
  <c r="AG40" i="15" s="1"/>
  <c r="AH40" i="15" s="1"/>
  <c r="AI40" i="15" s="1"/>
  <c r="AJ40" i="15" s="1"/>
  <c r="AK40" i="15" s="1"/>
  <c r="AL40" i="15" s="1"/>
  <c r="AM40" i="15" s="1"/>
  <c r="AN40" i="15" s="1"/>
  <c r="AO40" i="15" s="1"/>
  <c r="AP40" i="15" s="1"/>
  <c r="S53" i="15"/>
  <c r="T53" i="15" s="1"/>
  <c r="U53" i="15" s="1"/>
  <c r="V53" i="15" s="1"/>
  <c r="W53" i="15" s="1"/>
  <c r="X53" i="15" s="1"/>
  <c r="Y53" i="15" s="1"/>
  <c r="Z53" i="15" s="1"/>
  <c r="AA53" i="15" s="1"/>
  <c r="AB53" i="15" s="1"/>
  <c r="AC53" i="15" s="1"/>
  <c r="AD53" i="15" s="1"/>
  <c r="AE53" i="15" s="1"/>
  <c r="AF53" i="15" s="1"/>
  <c r="AG53" i="15" s="1"/>
  <c r="AH53" i="15" s="1"/>
  <c r="AI53" i="15" s="1"/>
  <c r="AJ53" i="15" s="1"/>
  <c r="AK53" i="15" s="1"/>
  <c r="AL53" i="15" s="1"/>
  <c r="AM53" i="15" s="1"/>
  <c r="AN53" i="15" s="1"/>
  <c r="AO53" i="15" s="1"/>
  <c r="AP53" i="15" s="1"/>
  <c r="Q53" i="15" s="1"/>
  <c r="M45" i="25"/>
  <c r="G16" i="22"/>
  <c r="M33" i="25"/>
  <c r="G4" i="22"/>
  <c r="G7" i="22"/>
  <c r="M36" i="25"/>
  <c r="S66" i="15"/>
  <c r="T66" i="15" s="1"/>
  <c r="U66" i="15" s="1"/>
  <c r="V66" i="15" s="1"/>
  <c r="W66" i="15" s="1"/>
  <c r="X66" i="15" s="1"/>
  <c r="Y66" i="15" s="1"/>
  <c r="Z66" i="15" s="1"/>
  <c r="AA66" i="15" s="1"/>
  <c r="AB66" i="15" s="1"/>
  <c r="AC66" i="15" s="1"/>
  <c r="AD66" i="15" s="1"/>
  <c r="AE66" i="15" s="1"/>
  <c r="AF66" i="15" s="1"/>
  <c r="AG66" i="15" s="1"/>
  <c r="AH66" i="15" s="1"/>
  <c r="AI66" i="15" s="1"/>
  <c r="AJ66" i="15" s="1"/>
  <c r="AK66" i="15" s="1"/>
  <c r="AL66" i="15" s="1"/>
  <c r="AM66" i="15" s="1"/>
  <c r="AN66" i="15" s="1"/>
  <c r="AO66" i="15" s="1"/>
  <c r="AP66" i="15" s="1"/>
  <c r="E18" i="22"/>
  <c r="H18" i="22" s="1"/>
  <c r="E16" i="22"/>
  <c r="E14" i="22"/>
  <c r="E12" i="22"/>
  <c r="H12" i="22" s="1"/>
  <c r="E10" i="22"/>
  <c r="E8" i="22"/>
  <c r="E6" i="22"/>
  <c r="E4" i="22"/>
  <c r="E17" i="22"/>
  <c r="E15" i="22"/>
  <c r="H15" i="22" s="1"/>
  <c r="E13" i="22"/>
  <c r="H13" i="22" s="1"/>
  <c r="E11" i="22"/>
  <c r="E9" i="22"/>
  <c r="E7" i="22"/>
  <c r="E5" i="22"/>
  <c r="G5" i="22"/>
  <c r="M34" i="25"/>
  <c r="N34" i="25" s="1"/>
  <c r="S51" i="15"/>
  <c r="T51" i="15" s="1"/>
  <c r="U51" i="15" s="1"/>
  <c r="V51" i="15" s="1"/>
  <c r="W51" i="15" s="1"/>
  <c r="X51" i="15" s="1"/>
  <c r="Y51" i="15" s="1"/>
  <c r="Z51" i="15" s="1"/>
  <c r="AA51" i="15" s="1"/>
  <c r="G9" i="22"/>
  <c r="M38" i="25"/>
  <c r="M39" i="25"/>
  <c r="G10" i="22"/>
  <c r="R63" i="15"/>
  <c r="R50" i="15"/>
  <c r="G11" i="22"/>
  <c r="M40" i="25"/>
  <c r="S37" i="15"/>
  <c r="T37" i="15" s="1"/>
  <c r="U37" i="15" s="1"/>
  <c r="V37" i="15" s="1"/>
  <c r="W37" i="15" s="1"/>
  <c r="X37" i="15" s="1"/>
  <c r="Y37" i="15" s="1"/>
  <c r="Z37" i="15" s="1"/>
  <c r="AA37" i="15" s="1"/>
  <c r="AB37" i="15" s="1"/>
  <c r="AC37" i="15" s="1"/>
  <c r="AD37" i="15" s="1"/>
  <c r="AE37" i="15" s="1"/>
  <c r="AF37" i="15" s="1"/>
  <c r="AG37" i="15" s="1"/>
  <c r="AH37" i="15" s="1"/>
  <c r="AI37" i="15" s="1"/>
  <c r="AJ37" i="15" s="1"/>
  <c r="AK37" i="15" s="1"/>
  <c r="AL37" i="15" s="1"/>
  <c r="AM37" i="15" s="1"/>
  <c r="AN37" i="15" s="1"/>
  <c r="AO37" i="15" s="1"/>
  <c r="AP37" i="15" s="1"/>
  <c r="R54" i="15" l="1"/>
  <c r="R67" i="15"/>
  <c r="S41" i="15"/>
  <c r="S29" i="15"/>
  <c r="Q66" i="15"/>
  <c r="S73" i="15"/>
  <c r="T72" i="15"/>
  <c r="H8" i="22"/>
  <c r="H16" i="22"/>
  <c r="N33" i="25"/>
  <c r="M48" i="25"/>
  <c r="D17" i="19"/>
  <c r="E17" i="19" s="1"/>
  <c r="F17" i="19" s="1"/>
  <c r="H6" i="22"/>
  <c r="N6" i="22" s="1"/>
  <c r="H7" i="22"/>
  <c r="N7" i="22" s="1"/>
  <c r="H4" i="22"/>
  <c r="N4" i="22" s="1"/>
  <c r="H17" i="22"/>
  <c r="H9" i="22"/>
  <c r="H10" i="22"/>
  <c r="B8" i="22"/>
  <c r="M7" i="22"/>
  <c r="F34" i="25"/>
  <c r="C34" i="25" s="1"/>
  <c r="F18" i="25"/>
  <c r="J5" i="22"/>
  <c r="S50" i="15"/>
  <c r="T50" i="15" s="1"/>
  <c r="U50" i="15" s="1"/>
  <c r="V50" i="15" s="1"/>
  <c r="W50" i="15" s="1"/>
  <c r="X50" i="15" s="1"/>
  <c r="Y50" i="15" s="1"/>
  <c r="Z50" i="15" s="1"/>
  <c r="AA50" i="15" s="1"/>
  <c r="AB50" i="15" s="1"/>
  <c r="AC50" i="15" s="1"/>
  <c r="AD50" i="15" s="1"/>
  <c r="AE50" i="15" s="1"/>
  <c r="AF50" i="15" s="1"/>
  <c r="AG50" i="15" s="1"/>
  <c r="AH50" i="15" s="1"/>
  <c r="AI50" i="15" s="1"/>
  <c r="AJ50" i="15" s="1"/>
  <c r="AK50" i="15" s="1"/>
  <c r="AL50" i="15" s="1"/>
  <c r="AM50" i="15" s="1"/>
  <c r="AN50" i="15" s="1"/>
  <c r="AO50" i="15" s="1"/>
  <c r="AP50" i="15" s="1"/>
  <c r="H5" i="22"/>
  <c r="N5" i="22" s="1"/>
  <c r="H32" i="25"/>
  <c r="G33" i="25"/>
  <c r="S63" i="15"/>
  <c r="T63" i="15" s="1"/>
  <c r="U63" i="15" s="1"/>
  <c r="V63" i="15" s="1"/>
  <c r="W63" i="15" s="1"/>
  <c r="X63" i="15" s="1"/>
  <c r="Y63" i="15" s="1"/>
  <c r="Z63" i="15" s="1"/>
  <c r="AA63" i="15" s="1"/>
  <c r="AB63" i="15" s="1"/>
  <c r="AC63" i="15" s="1"/>
  <c r="AD63" i="15" s="1"/>
  <c r="AE63" i="15" s="1"/>
  <c r="AF63" i="15" s="1"/>
  <c r="AG63" i="15" s="1"/>
  <c r="AH63" i="15" s="1"/>
  <c r="AI63" i="15" s="1"/>
  <c r="AJ63" i="15" s="1"/>
  <c r="AK63" i="15" s="1"/>
  <c r="AL63" i="15" s="1"/>
  <c r="AM63" i="15" s="1"/>
  <c r="AN63" i="15" s="1"/>
  <c r="AO63" i="15" s="1"/>
  <c r="AP63" i="15" s="1"/>
  <c r="Q51" i="15"/>
  <c r="H11" i="22"/>
  <c r="Q40" i="15"/>
  <c r="Q28" i="15"/>
  <c r="J37" i="25"/>
  <c r="D38" i="25"/>
  <c r="Q37" i="15"/>
  <c r="H14" i="22"/>
  <c r="X36" i="25"/>
  <c r="W36" i="25"/>
  <c r="R36" i="25"/>
  <c r="N36" i="25"/>
  <c r="S67" i="15" l="1"/>
  <c r="S54" i="15"/>
  <c r="T41" i="15"/>
  <c r="T29" i="15"/>
  <c r="U72" i="15"/>
  <c r="T73" i="15"/>
  <c r="Q50" i="15"/>
  <c r="C48" i="19" s="1"/>
  <c r="C50" i="19" s="1"/>
  <c r="C52" i="19" s="1"/>
  <c r="M8" i="22"/>
  <c r="N8" i="22" s="1"/>
  <c r="B9" i="22"/>
  <c r="J38" i="25"/>
  <c r="D39" i="25"/>
  <c r="Q63" i="15"/>
  <c r="J6" i="22"/>
  <c r="F35" i="25"/>
  <c r="C35" i="25" s="1"/>
  <c r="F19" i="25"/>
  <c r="X37" i="25"/>
  <c r="W37" i="25"/>
  <c r="R37" i="25"/>
  <c r="N37" i="25"/>
  <c r="G34" i="25"/>
  <c r="H33" i="25"/>
  <c r="K33" i="25" s="1"/>
  <c r="T67" i="15" l="1"/>
  <c r="T54" i="15"/>
  <c r="U29" i="15"/>
  <c r="U41" i="15"/>
  <c r="V72" i="15"/>
  <c r="U73" i="15"/>
  <c r="X38" i="25"/>
  <c r="W38" i="25"/>
  <c r="R38" i="25"/>
  <c r="N38" i="25"/>
  <c r="B10" i="22"/>
  <c r="M9" i="22"/>
  <c r="N9" i="22" s="1"/>
  <c r="F20" i="25"/>
  <c r="F36" i="25"/>
  <c r="C36" i="25" s="1"/>
  <c r="J7" i="22"/>
  <c r="H34" i="25"/>
  <c r="K34" i="25" s="1"/>
  <c r="S34" i="25" s="1"/>
  <c r="G35" i="25"/>
  <c r="S33" i="25"/>
  <c r="J39" i="25"/>
  <c r="D40" i="25"/>
  <c r="U67" i="15" l="1"/>
  <c r="U54" i="15"/>
  <c r="V29" i="15"/>
  <c r="V41" i="15"/>
  <c r="W72" i="15"/>
  <c r="V73" i="15"/>
  <c r="J8" i="22"/>
  <c r="J9" i="22" s="1"/>
  <c r="J10" i="22" s="1"/>
  <c r="J11" i="22" s="1"/>
  <c r="J12" i="22" s="1"/>
  <c r="J13" i="22" s="1"/>
  <c r="J14" i="22" s="1"/>
  <c r="J15" i="22" s="1"/>
  <c r="J16" i="22" s="1"/>
  <c r="J17" i="22" s="1"/>
  <c r="J18" i="22" s="1"/>
  <c r="F37" i="25"/>
  <c r="M10" i="22"/>
  <c r="N10" i="22" s="1"/>
  <c r="B11" i="22"/>
  <c r="X39" i="25"/>
  <c r="W39" i="25"/>
  <c r="R39" i="25"/>
  <c r="N39" i="25"/>
  <c r="J40" i="25"/>
  <c r="D41" i="25"/>
  <c r="H35" i="25"/>
  <c r="K35" i="25" s="1"/>
  <c r="G36" i="25"/>
  <c r="V54" i="15" l="1"/>
  <c r="V67" i="15"/>
  <c r="W41" i="15"/>
  <c r="W29" i="15"/>
  <c r="X72" i="15"/>
  <c r="W73" i="15"/>
  <c r="S35" i="25"/>
  <c r="J41" i="25"/>
  <c r="D42" i="25"/>
  <c r="B12" i="22"/>
  <c r="M11" i="22"/>
  <c r="N11" i="22" s="1"/>
  <c r="X40" i="25"/>
  <c r="W40" i="25"/>
  <c r="R40" i="25"/>
  <c r="N40" i="25"/>
  <c r="F38" i="25"/>
  <c r="C37" i="25"/>
  <c r="H36" i="25"/>
  <c r="K36" i="25" s="1"/>
  <c r="S36" i="25" s="1"/>
  <c r="G37" i="25"/>
  <c r="W54" i="15" l="1"/>
  <c r="W67" i="15"/>
  <c r="X29" i="15"/>
  <c r="X41" i="15"/>
  <c r="Y72" i="15"/>
  <c r="X73" i="15"/>
  <c r="H37" i="25"/>
  <c r="K37" i="25" s="1"/>
  <c r="S37" i="25" s="1"/>
  <c r="G38" i="25"/>
  <c r="J42" i="25"/>
  <c r="D43" i="25"/>
  <c r="F39" i="25"/>
  <c r="C38" i="25"/>
  <c r="M12" i="22"/>
  <c r="N12" i="22" s="1"/>
  <c r="B13" i="22"/>
  <c r="X41" i="25"/>
  <c r="W41" i="25"/>
  <c r="R41" i="25"/>
  <c r="N41" i="25"/>
  <c r="X67" i="15" l="1"/>
  <c r="X54" i="15"/>
  <c r="Y29" i="15"/>
  <c r="Y41" i="15"/>
  <c r="Z72" i="15"/>
  <c r="Y73" i="15"/>
  <c r="B14" i="22"/>
  <c r="M13" i="22"/>
  <c r="N13" i="22" s="1"/>
  <c r="F40" i="25"/>
  <c r="C39" i="25"/>
  <c r="J43" i="25"/>
  <c r="D44" i="25"/>
  <c r="X42" i="25"/>
  <c r="W42" i="25"/>
  <c r="R42" i="25"/>
  <c r="N42" i="25"/>
  <c r="H38" i="25"/>
  <c r="K38" i="25" s="1"/>
  <c r="S38" i="25" s="1"/>
  <c r="G39" i="25"/>
  <c r="Z41" i="15" l="1"/>
  <c r="Z29" i="15"/>
  <c r="Y54" i="15"/>
  <c r="Y67" i="15"/>
  <c r="AA72" i="15"/>
  <c r="Z73" i="15"/>
  <c r="J44" i="25"/>
  <c r="D45" i="25"/>
  <c r="H39" i="25"/>
  <c r="K39" i="25" s="1"/>
  <c r="S39" i="25" s="1"/>
  <c r="G40" i="25"/>
  <c r="F41" i="25"/>
  <c r="C40" i="25"/>
  <c r="M14" i="22"/>
  <c r="N14" i="22" s="1"/>
  <c r="B15" i="22"/>
  <c r="X43" i="25"/>
  <c r="W43" i="25"/>
  <c r="R43" i="25"/>
  <c r="N43" i="25"/>
  <c r="Z54" i="15" l="1"/>
  <c r="Z67" i="15"/>
  <c r="AA41" i="15"/>
  <c r="AA29" i="15"/>
  <c r="AB72" i="15"/>
  <c r="AA73" i="15"/>
  <c r="B16" i="22"/>
  <c r="M15" i="22"/>
  <c r="N15" i="22" s="1"/>
  <c r="F42" i="25"/>
  <c r="C41" i="25"/>
  <c r="H40" i="25"/>
  <c r="K40" i="25" s="1"/>
  <c r="S40" i="25" s="1"/>
  <c r="G41" i="25"/>
  <c r="X44" i="25"/>
  <c r="W44" i="25"/>
  <c r="R44" i="25"/>
  <c r="N44" i="25"/>
  <c r="J45" i="25"/>
  <c r="D46" i="25"/>
  <c r="AA67" i="15" l="1"/>
  <c r="AA54" i="15"/>
  <c r="AB41" i="15"/>
  <c r="AB29" i="15"/>
  <c r="AC72" i="15"/>
  <c r="AB73" i="15"/>
  <c r="J46" i="25"/>
  <c r="D47" i="25"/>
  <c r="J47" i="25" s="1"/>
  <c r="H41" i="25"/>
  <c r="K41" i="25" s="1"/>
  <c r="S41" i="25" s="1"/>
  <c r="G42" i="25"/>
  <c r="X45" i="25"/>
  <c r="W45" i="25"/>
  <c r="R45" i="25"/>
  <c r="N45" i="25"/>
  <c r="F43" i="25"/>
  <c r="C42" i="25"/>
  <c r="M16" i="22"/>
  <c r="N16" i="22" s="1"/>
  <c r="B17" i="22"/>
  <c r="AB67" i="15" l="1"/>
  <c r="AB54" i="15"/>
  <c r="AC29" i="15"/>
  <c r="AC41" i="15"/>
  <c r="AD72" i="15"/>
  <c r="AC73" i="15"/>
  <c r="H42" i="25"/>
  <c r="K42" i="25" s="1"/>
  <c r="S42" i="25" s="1"/>
  <c r="G43" i="25"/>
  <c r="B18" i="22"/>
  <c r="M18" i="22" s="1"/>
  <c r="N18" i="22" s="1"/>
  <c r="M17" i="22"/>
  <c r="N17" i="22" s="1"/>
  <c r="X47" i="25"/>
  <c r="W47" i="25"/>
  <c r="W48" i="25" s="1"/>
  <c r="R47" i="25"/>
  <c r="R48" i="25" s="1"/>
  <c r="C14" i="19" s="1"/>
  <c r="N47" i="25"/>
  <c r="F44" i="25"/>
  <c r="C43" i="25"/>
  <c r="X46" i="25"/>
  <c r="W46" i="25"/>
  <c r="R46" i="25"/>
  <c r="N46" i="25"/>
  <c r="AC54" i="15" l="1"/>
  <c r="AC67" i="15"/>
  <c r="AD29" i="15"/>
  <c r="AD41" i="15"/>
  <c r="AE72" i="15"/>
  <c r="AD73" i="15"/>
  <c r="N19" i="22"/>
  <c r="H28" i="17" s="1"/>
  <c r="C20" i="19" s="1"/>
  <c r="D20" i="19" s="1"/>
  <c r="E20" i="19" s="1"/>
  <c r="F20" i="19" s="1"/>
  <c r="N48" i="25"/>
  <c r="X48" i="25"/>
  <c r="F45" i="25"/>
  <c r="C44" i="25"/>
  <c r="H43" i="25"/>
  <c r="K43" i="25" s="1"/>
  <c r="S43" i="25" s="1"/>
  <c r="G44" i="25"/>
  <c r="AE41" i="15" l="1"/>
  <c r="AE29" i="15"/>
  <c r="AD54" i="15"/>
  <c r="AD67" i="15"/>
  <c r="AF72" i="15"/>
  <c r="AE73" i="15"/>
  <c r="H5" i="17"/>
  <c r="C13" i="19" s="1"/>
  <c r="F46" i="25"/>
  <c r="C45" i="25"/>
  <c r="H44" i="25"/>
  <c r="K44" i="25" s="1"/>
  <c r="S44" i="25" s="1"/>
  <c r="G45" i="25"/>
  <c r="H13" i="17"/>
  <c r="C16" i="19" s="1"/>
  <c r="H11" i="17"/>
  <c r="X50" i="25"/>
  <c r="AE54" i="15" l="1"/>
  <c r="AE67" i="15"/>
  <c r="AF29" i="15"/>
  <c r="AF41" i="15"/>
  <c r="AG72" i="15"/>
  <c r="AF73" i="15"/>
  <c r="C15" i="19"/>
  <c r="H25" i="17"/>
  <c r="H45" i="25"/>
  <c r="K45" i="25" s="1"/>
  <c r="S45" i="25" s="1"/>
  <c r="G46" i="25"/>
  <c r="F47" i="25"/>
  <c r="C47" i="25" s="1"/>
  <c r="C46" i="25"/>
  <c r="AF67" i="15" l="1"/>
  <c r="AF54" i="15"/>
  <c r="AG29" i="15"/>
  <c r="AG41" i="15"/>
  <c r="AH72" i="15"/>
  <c r="AG73" i="15"/>
  <c r="H46" i="25"/>
  <c r="K46" i="25" s="1"/>
  <c r="S46" i="25" s="1"/>
  <c r="G47" i="25"/>
  <c r="H47" i="25" s="1"/>
  <c r="K47" i="25" s="1"/>
  <c r="AG54" i="15" l="1"/>
  <c r="AG67" i="15"/>
  <c r="AH41" i="15"/>
  <c r="AH29" i="15"/>
  <c r="AI72" i="15"/>
  <c r="AH73" i="15"/>
  <c r="S47" i="25"/>
  <c r="S48" i="25" s="1"/>
  <c r="K48" i="25"/>
  <c r="H26" i="17" s="1"/>
  <c r="AH54" i="15" l="1"/>
  <c r="AH67" i="15"/>
  <c r="AI41" i="15"/>
  <c r="AI29" i="15"/>
  <c r="AJ72" i="15"/>
  <c r="AI73" i="15"/>
  <c r="C19" i="19"/>
  <c r="AI67" i="15" l="1"/>
  <c r="AI54" i="15"/>
  <c r="AJ41" i="15"/>
  <c r="AJ29" i="15"/>
  <c r="AK72" i="15"/>
  <c r="AJ73" i="15"/>
  <c r="D19" i="19"/>
  <c r="C23" i="19"/>
  <c r="AJ67" i="15" l="1"/>
  <c r="AJ54" i="15"/>
  <c r="AK29" i="15"/>
  <c r="AK41" i="15"/>
  <c r="AL72" i="15"/>
  <c r="AK73" i="15"/>
  <c r="E19" i="19"/>
  <c r="F19" i="19" s="1"/>
  <c r="Q22" i="11"/>
  <c r="Q18" i="11"/>
  <c r="Q14" i="11"/>
  <c r="Q10" i="11"/>
  <c r="P21" i="11"/>
  <c r="P17" i="11"/>
  <c r="P13" i="11"/>
  <c r="J10" i="11"/>
  <c r="P10" i="11" s="1"/>
  <c r="J15" i="11"/>
  <c r="P15" i="11" s="1"/>
  <c r="J17" i="11"/>
  <c r="Q17" i="11" s="1"/>
  <c r="J18" i="11"/>
  <c r="P18" i="11" s="1"/>
  <c r="J23" i="11"/>
  <c r="P23" i="11" s="1"/>
  <c r="I9" i="11"/>
  <c r="J9" i="11" s="1"/>
  <c r="P9" i="11" s="1"/>
  <c r="C9" i="11"/>
  <c r="U9" i="11" s="1"/>
  <c r="B7" i="11"/>
  <c r="B8" i="11" s="1"/>
  <c r="B9" i="11" s="1"/>
  <c r="B10" i="11" s="1"/>
  <c r="B11" i="11" s="1"/>
  <c r="B12" i="11" s="1"/>
  <c r="B13" i="11" s="1"/>
  <c r="B14" i="11" s="1"/>
  <c r="B15" i="11" s="1"/>
  <c r="B16" i="11" s="1"/>
  <c r="B17" i="11" s="1"/>
  <c r="B18" i="11" s="1"/>
  <c r="B19" i="11" s="1"/>
  <c r="B20" i="11" s="1"/>
  <c r="B21" i="11" s="1"/>
  <c r="B22" i="11" s="1"/>
  <c r="B23" i="11" s="1"/>
  <c r="A10" i="11"/>
  <c r="C10" i="11" s="1"/>
  <c r="I23" i="11"/>
  <c r="I22" i="11"/>
  <c r="J22" i="11" s="1"/>
  <c r="P22" i="11" s="1"/>
  <c r="I21" i="11"/>
  <c r="J21" i="11" s="1"/>
  <c r="Q21" i="11" s="1"/>
  <c r="I20" i="11"/>
  <c r="J20" i="11" s="1"/>
  <c r="P20" i="11" s="1"/>
  <c r="I19" i="11"/>
  <c r="J19" i="11" s="1"/>
  <c r="P19" i="11" s="1"/>
  <c r="I18" i="11"/>
  <c r="I17" i="11"/>
  <c r="I16" i="11"/>
  <c r="J16" i="11" s="1"/>
  <c r="P16" i="11" s="1"/>
  <c r="I15" i="11"/>
  <c r="I14" i="11"/>
  <c r="J14" i="11" s="1"/>
  <c r="P14" i="11" s="1"/>
  <c r="I13" i="11"/>
  <c r="J13" i="11" s="1"/>
  <c r="Q13" i="11" s="1"/>
  <c r="I12" i="11"/>
  <c r="J12" i="11" s="1"/>
  <c r="P12" i="11" s="1"/>
  <c r="I11" i="11"/>
  <c r="J11" i="11" s="1"/>
  <c r="P11" i="11" s="1"/>
  <c r="I10" i="11"/>
  <c r="L66" i="4"/>
  <c r="L74" i="4"/>
  <c r="M62" i="4"/>
  <c r="M63" i="4"/>
  <c r="M64" i="4"/>
  <c r="M65" i="4"/>
  <c r="M66" i="4"/>
  <c r="M67" i="4"/>
  <c r="M68" i="4"/>
  <c r="M69" i="4"/>
  <c r="M70" i="4"/>
  <c r="M71" i="4"/>
  <c r="M72" i="4"/>
  <c r="M73" i="4"/>
  <c r="M74" i="4"/>
  <c r="M75" i="4"/>
  <c r="M61" i="4"/>
  <c r="M42" i="4"/>
  <c r="I62" i="4"/>
  <c r="L62" i="4" s="1"/>
  <c r="I63" i="4"/>
  <c r="L63" i="4" s="1"/>
  <c r="I64" i="4"/>
  <c r="L64" i="4" s="1"/>
  <c r="I65" i="4"/>
  <c r="L65" i="4" s="1"/>
  <c r="I66" i="4"/>
  <c r="I67" i="4"/>
  <c r="L67" i="4" s="1"/>
  <c r="I68" i="4"/>
  <c r="L68" i="4" s="1"/>
  <c r="I69" i="4"/>
  <c r="L69" i="4" s="1"/>
  <c r="I70" i="4"/>
  <c r="L70" i="4" s="1"/>
  <c r="I71" i="4"/>
  <c r="L71" i="4" s="1"/>
  <c r="I72" i="4"/>
  <c r="L72" i="4" s="1"/>
  <c r="I73" i="4"/>
  <c r="L73" i="4" s="1"/>
  <c r="I74" i="4"/>
  <c r="I75" i="4"/>
  <c r="L75" i="4" s="1"/>
  <c r="I61" i="4"/>
  <c r="L61" i="4" s="1"/>
  <c r="I42" i="4"/>
  <c r="L42" i="4" s="1"/>
  <c r="I25" i="10"/>
  <c r="H25" i="10"/>
  <c r="D5" i="1"/>
  <c r="F5" i="1" s="1"/>
  <c r="B21" i="6"/>
  <c r="D25" i="1" s="1"/>
  <c r="O25" i="9"/>
  <c r="R25" i="9" s="1"/>
  <c r="O26" i="9"/>
  <c r="R26" i="9" s="1"/>
  <c r="O27" i="9"/>
  <c r="R27" i="9" s="1"/>
  <c r="O28" i="9"/>
  <c r="R28" i="9"/>
  <c r="O29" i="9"/>
  <c r="R29" i="9" s="1"/>
  <c r="O30" i="9"/>
  <c r="R30" i="9" s="1"/>
  <c r="O31" i="9"/>
  <c r="R31" i="9" s="1"/>
  <c r="O32" i="9"/>
  <c r="R32" i="9"/>
  <c r="O33" i="9"/>
  <c r="R33" i="9" s="1"/>
  <c r="O34" i="9"/>
  <c r="R34" i="9" s="1"/>
  <c r="O35" i="9"/>
  <c r="R35" i="9" s="1"/>
  <c r="O36" i="9"/>
  <c r="R36" i="9" s="1"/>
  <c r="O37" i="9"/>
  <c r="R37" i="9" s="1"/>
  <c r="O38" i="9"/>
  <c r="R38" i="9" s="1"/>
  <c r="O39" i="9"/>
  <c r="R39" i="9" s="1"/>
  <c r="Q25" i="7"/>
  <c r="Q26" i="7"/>
  <c r="Q27" i="7"/>
  <c r="Q28" i="7"/>
  <c r="Q29" i="7"/>
  <c r="Q30" i="7"/>
  <c r="Q31" i="7"/>
  <c r="Q32" i="7"/>
  <c r="Q33" i="7"/>
  <c r="Q34" i="7"/>
  <c r="Q35" i="7"/>
  <c r="Q36" i="7"/>
  <c r="Q37" i="7"/>
  <c r="Q38" i="7"/>
  <c r="Q39" i="7"/>
  <c r="D12" i="1"/>
  <c r="D18" i="1" s="1"/>
  <c r="D11" i="1"/>
  <c r="D17" i="1" s="1"/>
  <c r="D10" i="1"/>
  <c r="D15" i="1" s="1"/>
  <c r="D9" i="1"/>
  <c r="D14" i="1" s="1"/>
  <c r="J17" i="1" s="1"/>
  <c r="L54" i="4"/>
  <c r="L46" i="4"/>
  <c r="L34" i="4"/>
  <c r="L33" i="4"/>
  <c r="L26" i="4"/>
  <c r="L25" i="4"/>
  <c r="I4" i="4"/>
  <c r="L4" i="4" s="1"/>
  <c r="I56" i="4"/>
  <c r="L56" i="4" s="1"/>
  <c r="I43" i="4"/>
  <c r="L43" i="4" s="1"/>
  <c r="I44" i="4"/>
  <c r="L44" i="4" s="1"/>
  <c r="I45" i="4"/>
  <c r="L45" i="4" s="1"/>
  <c r="I46" i="4"/>
  <c r="I47" i="4"/>
  <c r="L47" i="4" s="1"/>
  <c r="I48" i="4"/>
  <c r="L48" i="4" s="1"/>
  <c r="I49" i="4"/>
  <c r="L49" i="4" s="1"/>
  <c r="I50" i="4"/>
  <c r="L50" i="4" s="1"/>
  <c r="I51" i="4"/>
  <c r="L51" i="4" s="1"/>
  <c r="I52" i="4"/>
  <c r="L52" i="4" s="1"/>
  <c r="I53" i="4"/>
  <c r="L53" i="4" s="1"/>
  <c r="I54" i="4"/>
  <c r="I55" i="4"/>
  <c r="L55" i="4" s="1"/>
  <c r="I23" i="4"/>
  <c r="L23" i="4" s="1"/>
  <c r="M43" i="4"/>
  <c r="M44" i="4"/>
  <c r="M45" i="4"/>
  <c r="M46" i="4"/>
  <c r="M47" i="4"/>
  <c r="M48" i="4"/>
  <c r="M49" i="4"/>
  <c r="M50" i="4"/>
  <c r="M51" i="4"/>
  <c r="M52" i="4"/>
  <c r="M53" i="4"/>
  <c r="M54" i="4"/>
  <c r="M55" i="4"/>
  <c r="M56" i="4"/>
  <c r="M24" i="4"/>
  <c r="M25" i="4"/>
  <c r="M26" i="4"/>
  <c r="M27" i="4"/>
  <c r="M28" i="4"/>
  <c r="M29" i="4"/>
  <c r="M30" i="4"/>
  <c r="M31" i="4"/>
  <c r="M32" i="4"/>
  <c r="M33" i="4"/>
  <c r="M34" i="4"/>
  <c r="M35" i="4"/>
  <c r="M36" i="4"/>
  <c r="M37" i="4"/>
  <c r="M23" i="4"/>
  <c r="M4" i="4"/>
  <c r="I24" i="4"/>
  <c r="L24" i="4" s="1"/>
  <c r="I25" i="4"/>
  <c r="I26" i="4"/>
  <c r="I27" i="4"/>
  <c r="L27" i="4" s="1"/>
  <c r="I28" i="4"/>
  <c r="L28" i="4" s="1"/>
  <c r="I29" i="4"/>
  <c r="L29" i="4" s="1"/>
  <c r="I30" i="4"/>
  <c r="L30" i="4" s="1"/>
  <c r="I31" i="4"/>
  <c r="L31" i="4" s="1"/>
  <c r="I32" i="4"/>
  <c r="L32" i="4" s="1"/>
  <c r="I33" i="4"/>
  <c r="I34" i="4"/>
  <c r="I35" i="4"/>
  <c r="L35" i="4" s="1"/>
  <c r="I36" i="4"/>
  <c r="L36" i="4" s="1"/>
  <c r="I37" i="4"/>
  <c r="L37" i="4" s="1"/>
  <c r="C2" i="9"/>
  <c r="G22" i="9" s="1"/>
  <c r="H22" i="9" s="1"/>
  <c r="F22" i="9"/>
  <c r="D26" i="9"/>
  <c r="J26" i="9" s="1"/>
  <c r="J25" i="9"/>
  <c r="E23" i="9"/>
  <c r="E24" i="9" s="1"/>
  <c r="E25" i="9" s="1"/>
  <c r="E26" i="9" s="1"/>
  <c r="E27" i="9" s="1"/>
  <c r="E28" i="9" s="1"/>
  <c r="E29" i="9" s="1"/>
  <c r="E30" i="9" s="1"/>
  <c r="E31" i="9" s="1"/>
  <c r="E32" i="9" s="1"/>
  <c r="E33" i="9" s="1"/>
  <c r="E34" i="9" s="1"/>
  <c r="E35" i="9" s="1"/>
  <c r="E36" i="9" s="1"/>
  <c r="E37" i="9" s="1"/>
  <c r="E38" i="9" s="1"/>
  <c r="E39" i="9" s="1"/>
  <c r="D6" i="9"/>
  <c r="F23" i="9" s="1"/>
  <c r="C6" i="9"/>
  <c r="C7" i="9" s="1"/>
  <c r="C8" i="9" s="1"/>
  <c r="C9" i="9" s="1"/>
  <c r="C10" i="9" s="1"/>
  <c r="C11" i="9" s="1"/>
  <c r="C12" i="9" s="1"/>
  <c r="G22" i="7"/>
  <c r="Q33" i="5"/>
  <c r="Q34" i="5"/>
  <c r="Q35" i="5"/>
  <c r="Q36" i="5"/>
  <c r="Q37" i="5"/>
  <c r="Q38" i="5"/>
  <c r="Q39" i="5"/>
  <c r="Q40" i="5"/>
  <c r="Q41" i="5"/>
  <c r="Q42" i="5"/>
  <c r="Q43" i="5"/>
  <c r="Q44" i="5"/>
  <c r="Q45" i="5"/>
  <c r="Q46" i="5"/>
  <c r="Q47" i="5"/>
  <c r="C15" i="7"/>
  <c r="F22" i="7" s="1"/>
  <c r="J25" i="7"/>
  <c r="B18" i="6"/>
  <c r="B11" i="6"/>
  <c r="D26" i="7"/>
  <c r="J26" i="7" s="1"/>
  <c r="E23" i="7"/>
  <c r="E24" i="7" s="1"/>
  <c r="E25" i="7" s="1"/>
  <c r="E26" i="7" s="1"/>
  <c r="E27" i="7" s="1"/>
  <c r="E28" i="7" s="1"/>
  <c r="E29" i="7" s="1"/>
  <c r="E30" i="7" s="1"/>
  <c r="E31" i="7" s="1"/>
  <c r="E32" i="7" s="1"/>
  <c r="E33" i="7" s="1"/>
  <c r="E34" i="7" s="1"/>
  <c r="E35" i="7" s="1"/>
  <c r="E36" i="7" s="1"/>
  <c r="E37" i="7" s="1"/>
  <c r="E38" i="7" s="1"/>
  <c r="E39" i="7" s="1"/>
  <c r="D6" i="7"/>
  <c r="D7" i="7" s="1"/>
  <c r="C6" i="7"/>
  <c r="C7" i="7" s="1"/>
  <c r="C8" i="7" s="1"/>
  <c r="C9" i="7" s="1"/>
  <c r="C10" i="7" s="1"/>
  <c r="C11" i="7" s="1"/>
  <c r="C12" i="7" s="1"/>
  <c r="D30" i="1"/>
  <c r="F30" i="1" s="1"/>
  <c r="F31" i="1" s="1"/>
  <c r="F33" i="1" s="1"/>
  <c r="B14" i="6"/>
  <c r="D20" i="1" s="1"/>
  <c r="D27" i="1" l="1"/>
  <c r="D7" i="1"/>
  <c r="E4" i="4" s="1"/>
  <c r="T26" i="7"/>
  <c r="T25" i="7"/>
  <c r="AK54" i="15"/>
  <c r="AK67" i="15"/>
  <c r="AL29" i="15"/>
  <c r="AL41" i="15"/>
  <c r="AM72" i="15"/>
  <c r="AL73" i="15"/>
  <c r="C36" i="19"/>
  <c r="C38" i="19" s="1"/>
  <c r="C41" i="19" s="1"/>
  <c r="Q15" i="11"/>
  <c r="Q23" i="11"/>
  <c r="Q16" i="11"/>
  <c r="Q9" i="11"/>
  <c r="Q11" i="11"/>
  <c r="Q19" i="11"/>
  <c r="Q12" i="11"/>
  <c r="Q20" i="11"/>
  <c r="M9" i="11"/>
  <c r="T9" i="11"/>
  <c r="T24" i="11" s="1"/>
  <c r="A11" i="11"/>
  <c r="C11" i="11" s="1"/>
  <c r="U24" i="11"/>
  <c r="M10" i="11"/>
  <c r="H22" i="7"/>
  <c r="D21" i="1"/>
  <c r="D22" i="1" s="1"/>
  <c r="E36" i="4" s="1"/>
  <c r="D16" i="1"/>
  <c r="D42" i="4" s="1"/>
  <c r="D28" i="1"/>
  <c r="I36" i="7"/>
  <c r="B27" i="6"/>
  <c r="B19" i="6"/>
  <c r="R40" i="9"/>
  <c r="D28" i="4"/>
  <c r="D25" i="4"/>
  <c r="D37" i="4"/>
  <c r="D24" i="4"/>
  <c r="D36" i="4"/>
  <c r="D32" i="4"/>
  <c r="D31" i="4"/>
  <c r="D33" i="4"/>
  <c r="D29" i="4"/>
  <c r="D23" i="4"/>
  <c r="D30" i="4"/>
  <c r="D35" i="4"/>
  <c r="D27" i="4"/>
  <c r="D34" i="4"/>
  <c r="D26" i="4"/>
  <c r="I35" i="7"/>
  <c r="I27" i="7"/>
  <c r="I34" i="7"/>
  <c r="I26" i="7"/>
  <c r="I38" i="7"/>
  <c r="I25" i="7"/>
  <c r="I32" i="7"/>
  <c r="I28" i="7"/>
  <c r="I33" i="7"/>
  <c r="I39" i="7"/>
  <c r="I31" i="7"/>
  <c r="I30" i="7"/>
  <c r="I37" i="7"/>
  <c r="I29" i="7"/>
  <c r="B12" i="6"/>
  <c r="G23" i="9"/>
  <c r="H23" i="9" s="1"/>
  <c r="B23" i="9"/>
  <c r="D7" i="9"/>
  <c r="D27" i="9"/>
  <c r="F24" i="7"/>
  <c r="F23" i="7"/>
  <c r="D8" i="7"/>
  <c r="F25" i="7" s="1"/>
  <c r="D27" i="7"/>
  <c r="E6" i="5"/>
  <c r="E46" i="4" l="1"/>
  <c r="E54" i="4"/>
  <c r="E43" i="4"/>
  <c r="E52" i="4"/>
  <c r="E47" i="4"/>
  <c r="E55" i="4"/>
  <c r="E48" i="4"/>
  <c r="E56" i="4"/>
  <c r="E51" i="4"/>
  <c r="E44" i="4"/>
  <c r="E45" i="4"/>
  <c r="E49" i="4"/>
  <c r="E42" i="4"/>
  <c r="E53" i="4"/>
  <c r="E50" i="4"/>
  <c r="AM41" i="15"/>
  <c r="AM29" i="15"/>
  <c r="AL54" i="15"/>
  <c r="AL67" i="15"/>
  <c r="AN72" i="15"/>
  <c r="AM73" i="15"/>
  <c r="A12" i="11"/>
  <c r="A13" i="11"/>
  <c r="C12" i="11"/>
  <c r="G23" i="7"/>
  <c r="G24" i="7" s="1"/>
  <c r="E27" i="4"/>
  <c r="E26" i="4"/>
  <c r="E33" i="4"/>
  <c r="E25" i="4"/>
  <c r="E30" i="4"/>
  <c r="E29" i="4"/>
  <c r="E34" i="4"/>
  <c r="E37" i="4"/>
  <c r="E35" i="4"/>
  <c r="E23" i="4"/>
  <c r="E28" i="4"/>
  <c r="E24" i="4"/>
  <c r="E31" i="4"/>
  <c r="E32" i="4"/>
  <c r="D44" i="4"/>
  <c r="D52" i="4"/>
  <c r="D43" i="4"/>
  <c r="D51" i="4"/>
  <c r="D45" i="4"/>
  <c r="D53" i="4"/>
  <c r="D46" i="4"/>
  <c r="D54" i="4"/>
  <c r="D50" i="4"/>
  <c r="D47" i="4"/>
  <c r="D55" i="4"/>
  <c r="D48" i="4"/>
  <c r="D56" i="4"/>
  <c r="D49" i="4"/>
  <c r="I27" i="9"/>
  <c r="I35" i="9"/>
  <c r="I37" i="9"/>
  <c r="I33" i="9"/>
  <c r="I26" i="9"/>
  <c r="I28" i="9"/>
  <c r="I36" i="9"/>
  <c r="I29" i="9"/>
  <c r="I30" i="9"/>
  <c r="I38" i="9"/>
  <c r="I34" i="9"/>
  <c r="I31" i="9"/>
  <c r="I39" i="9"/>
  <c r="I32" i="9"/>
  <c r="I25" i="9"/>
  <c r="D28" i="9"/>
  <c r="J27" i="9"/>
  <c r="D8" i="9"/>
  <c r="F24" i="9"/>
  <c r="C23" i="7"/>
  <c r="C24" i="7"/>
  <c r="J27" i="7"/>
  <c r="T27" i="7" s="1"/>
  <c r="D28" i="7"/>
  <c r="D9" i="7"/>
  <c r="F26" i="7" s="1"/>
  <c r="H23" i="7" l="1"/>
  <c r="AM67" i="15"/>
  <c r="AM54" i="15"/>
  <c r="AN41" i="15"/>
  <c r="AN29" i="15"/>
  <c r="AO72" i="15"/>
  <c r="AN73" i="15"/>
  <c r="C13" i="11"/>
  <c r="A14" i="11"/>
  <c r="M11" i="11"/>
  <c r="G25" i="7"/>
  <c r="H24" i="7"/>
  <c r="J28" i="9"/>
  <c r="D29" i="9"/>
  <c r="B24" i="9"/>
  <c r="G24" i="9"/>
  <c r="D9" i="9"/>
  <c r="F25" i="9"/>
  <c r="B25" i="9" s="1"/>
  <c r="C25" i="7"/>
  <c r="D10" i="7"/>
  <c r="F27" i="7" s="1"/>
  <c r="D29" i="7"/>
  <c r="J28" i="7"/>
  <c r="T28" i="7" s="1"/>
  <c r="H25" i="7" l="1"/>
  <c r="K25" i="7" s="1"/>
  <c r="M25" i="7"/>
  <c r="AN67" i="15"/>
  <c r="AN54" i="15"/>
  <c r="AO29" i="15"/>
  <c r="AO41" i="15"/>
  <c r="AP72" i="15"/>
  <c r="AO73" i="15"/>
  <c r="A15" i="11"/>
  <c r="C14" i="11"/>
  <c r="M12" i="11"/>
  <c r="G26" i="7"/>
  <c r="F26" i="9"/>
  <c r="B26" i="9" s="1"/>
  <c r="D10" i="9"/>
  <c r="G25" i="9"/>
  <c r="H24" i="9"/>
  <c r="D30" i="9"/>
  <c r="J29" i="9"/>
  <c r="J29" i="7"/>
  <c r="T29" i="7" s="1"/>
  <c r="D30" i="7"/>
  <c r="D11" i="7"/>
  <c r="F28" i="7" s="1"/>
  <c r="C26" i="7"/>
  <c r="G27" i="7" l="1"/>
  <c r="M27" i="7" s="1"/>
  <c r="M26" i="7"/>
  <c r="AO67" i="15"/>
  <c r="AO54" i="15"/>
  <c r="AP29" i="15"/>
  <c r="Q29" i="15" s="1"/>
  <c r="Q32" i="15" s="1"/>
  <c r="AP41" i="15"/>
  <c r="Q41" i="15" s="1"/>
  <c r="Q44" i="15" s="1"/>
  <c r="AP73" i="15"/>
  <c r="AQ72" i="15"/>
  <c r="C53" i="19" s="1"/>
  <c r="C54" i="19" s="1"/>
  <c r="C15" i="11"/>
  <c r="A16" i="11"/>
  <c r="M13" i="11"/>
  <c r="H26" i="7"/>
  <c r="H25" i="9"/>
  <c r="K25" i="9" s="1"/>
  <c r="G26" i="9"/>
  <c r="J30" i="9"/>
  <c r="D31" i="9"/>
  <c r="F27" i="9"/>
  <c r="B27" i="9" s="1"/>
  <c r="D11" i="9"/>
  <c r="H27" i="7"/>
  <c r="G28" i="7"/>
  <c r="M28" i="7" s="1"/>
  <c r="D31" i="7"/>
  <c r="J30" i="7"/>
  <c r="T30" i="7" s="1"/>
  <c r="D12" i="7"/>
  <c r="F29" i="7" s="1"/>
  <c r="F30" i="7" s="1"/>
  <c r="F31" i="7" s="1"/>
  <c r="F32" i="7" s="1"/>
  <c r="F33" i="7" s="1"/>
  <c r="F34" i="7" s="1"/>
  <c r="F35" i="7" s="1"/>
  <c r="F36" i="7" s="1"/>
  <c r="F37" i="7" s="1"/>
  <c r="F38" i="7" s="1"/>
  <c r="F39" i="7" s="1"/>
  <c r="C27" i="7"/>
  <c r="J33" i="5"/>
  <c r="D34" i="5"/>
  <c r="J34" i="5" s="1"/>
  <c r="B5" i="4"/>
  <c r="B6" i="4" s="1"/>
  <c r="E31" i="5"/>
  <c r="E32" i="5" s="1"/>
  <c r="E33" i="5" s="1"/>
  <c r="E34" i="5" s="1"/>
  <c r="E35" i="5" s="1"/>
  <c r="E36" i="5" s="1"/>
  <c r="E37" i="5" s="1"/>
  <c r="E38" i="5" s="1"/>
  <c r="E39" i="5" s="1"/>
  <c r="E40" i="5" s="1"/>
  <c r="E41" i="5" s="1"/>
  <c r="E42" i="5" s="1"/>
  <c r="E43" i="5" s="1"/>
  <c r="E44" i="5" s="1"/>
  <c r="E45" i="5" s="1"/>
  <c r="E46" i="5" s="1"/>
  <c r="E47" i="5" s="1"/>
  <c r="E23" i="5"/>
  <c r="F30" i="5" s="1"/>
  <c r="H30" i="5" s="1"/>
  <c r="E14" i="5"/>
  <c r="E15" i="5" s="1"/>
  <c r="E16" i="5" s="1"/>
  <c r="E17" i="5" s="1"/>
  <c r="E18" i="5" s="1"/>
  <c r="E19" i="5" s="1"/>
  <c r="E20" i="5" s="1"/>
  <c r="F14" i="5"/>
  <c r="E7" i="5"/>
  <c r="I18" i="4"/>
  <c r="L18" i="4" s="1"/>
  <c r="I17" i="4"/>
  <c r="L17" i="4" s="1"/>
  <c r="I16" i="4"/>
  <c r="L16" i="4" s="1"/>
  <c r="I15" i="4"/>
  <c r="L15" i="4" s="1"/>
  <c r="I14" i="4"/>
  <c r="L14" i="4" s="1"/>
  <c r="I13" i="4"/>
  <c r="L13" i="4" s="1"/>
  <c r="I12" i="4"/>
  <c r="L12" i="4" s="1"/>
  <c r="I11" i="4"/>
  <c r="L11" i="4" s="1"/>
  <c r="I10" i="4"/>
  <c r="L10" i="4" s="1"/>
  <c r="I9" i="4"/>
  <c r="L9" i="4" s="1"/>
  <c r="I8" i="4"/>
  <c r="L8" i="4" s="1"/>
  <c r="I7" i="4"/>
  <c r="L7" i="4" s="1"/>
  <c r="I6" i="4"/>
  <c r="L6" i="4" s="1"/>
  <c r="I5" i="4"/>
  <c r="L5" i="4" s="1"/>
  <c r="C5" i="4"/>
  <c r="C6" i="4" s="1"/>
  <c r="C7" i="4" s="1"/>
  <c r="C8" i="4" s="1"/>
  <c r="C9" i="4" s="1"/>
  <c r="C10" i="4" s="1"/>
  <c r="C11" i="4" s="1"/>
  <c r="C12" i="4" s="1"/>
  <c r="C13" i="4" s="1"/>
  <c r="C14" i="4" s="1"/>
  <c r="C15" i="4" s="1"/>
  <c r="C16" i="4" s="1"/>
  <c r="C17" i="4" s="1"/>
  <c r="C18" i="4" s="1"/>
  <c r="H18" i="3"/>
  <c r="H17" i="3"/>
  <c r="H16" i="3"/>
  <c r="H15" i="3"/>
  <c r="H14" i="3"/>
  <c r="H13" i="3"/>
  <c r="H12" i="3"/>
  <c r="H11" i="3"/>
  <c r="H10" i="3"/>
  <c r="H9" i="3"/>
  <c r="H8" i="3"/>
  <c r="H7" i="3"/>
  <c r="H6" i="3"/>
  <c r="H5" i="3"/>
  <c r="H4" i="3"/>
  <c r="E6" i="3"/>
  <c r="E7" i="3" s="1"/>
  <c r="E8" i="3" s="1"/>
  <c r="E9" i="3" s="1"/>
  <c r="E10" i="3" s="1"/>
  <c r="E11" i="3" s="1"/>
  <c r="E12" i="3" s="1"/>
  <c r="E13" i="3" s="1"/>
  <c r="E14" i="3" s="1"/>
  <c r="E15" i="3" s="1"/>
  <c r="E16" i="3" s="1"/>
  <c r="E17" i="3" s="1"/>
  <c r="E18" i="3" s="1"/>
  <c r="E5" i="3"/>
  <c r="D31" i="1"/>
  <c r="D33" i="1" s="1"/>
  <c r="F4" i="4" l="1"/>
  <c r="G4" i="4" s="1"/>
  <c r="E25" i="27"/>
  <c r="F25" i="27" s="1"/>
  <c r="H25" i="27" s="1"/>
  <c r="E17" i="27"/>
  <c r="F17" i="27" s="1"/>
  <c r="H17" i="27" s="1"/>
  <c r="E16" i="27"/>
  <c r="F16" i="27" s="1"/>
  <c r="H16" i="27" s="1"/>
  <c r="E15" i="27"/>
  <c r="F15" i="27" s="1"/>
  <c r="H15" i="27" s="1"/>
  <c r="E22" i="27"/>
  <c r="F22" i="27" s="1"/>
  <c r="H22" i="27" s="1"/>
  <c r="E20" i="27"/>
  <c r="F20" i="27" s="1"/>
  <c r="H20" i="27" s="1"/>
  <c r="E19" i="27"/>
  <c r="F19" i="27" s="1"/>
  <c r="H19" i="27" s="1"/>
  <c r="E24" i="27"/>
  <c r="F24" i="27" s="1"/>
  <c r="H24" i="27" s="1"/>
  <c r="E14" i="27"/>
  <c r="F14" i="27" s="1"/>
  <c r="H14" i="27" s="1"/>
  <c r="E13" i="27"/>
  <c r="F13" i="27" s="1"/>
  <c r="H13" i="27" s="1"/>
  <c r="E12" i="27"/>
  <c r="F12" i="27" s="1"/>
  <c r="H12" i="27" s="1"/>
  <c r="E23" i="27"/>
  <c r="F23" i="27" s="1"/>
  <c r="H23" i="27" s="1"/>
  <c r="E21" i="27"/>
  <c r="F21" i="27" s="1"/>
  <c r="H21" i="27" s="1"/>
  <c r="E11" i="27"/>
  <c r="F11" i="27" s="1"/>
  <c r="H11" i="27" s="1"/>
  <c r="E18" i="27"/>
  <c r="F18" i="27" s="1"/>
  <c r="H18" i="27" s="1"/>
  <c r="D5" i="19"/>
  <c r="Z34" i="5"/>
  <c r="Y34" i="5"/>
  <c r="T34" i="5"/>
  <c r="Z33" i="5"/>
  <c r="Y33" i="5"/>
  <c r="AC33" i="5"/>
  <c r="AC48" i="5" s="1"/>
  <c r="AD33" i="5"/>
  <c r="AD48" i="5" s="1"/>
  <c r="T33" i="5"/>
  <c r="AP54" i="15"/>
  <c r="Q54" i="15" s="1"/>
  <c r="Q57" i="15" s="1"/>
  <c r="AP67" i="15"/>
  <c r="Q67" i="15" s="1"/>
  <c r="Q70" i="15" s="1"/>
  <c r="C16" i="11"/>
  <c r="A17" i="11"/>
  <c r="M14" i="11"/>
  <c r="M5" i="4"/>
  <c r="F17" i="4"/>
  <c r="F44" i="4"/>
  <c r="F52" i="4"/>
  <c r="F25" i="4"/>
  <c r="F33" i="4"/>
  <c r="F54" i="4"/>
  <c r="F24" i="4"/>
  <c r="F45" i="4"/>
  <c r="F53" i="4"/>
  <c r="F26" i="4"/>
  <c r="F34" i="4"/>
  <c r="F27" i="4"/>
  <c r="F32" i="4"/>
  <c r="F46" i="4"/>
  <c r="F35" i="4"/>
  <c r="F51" i="4"/>
  <c r="F47" i="4"/>
  <c r="F55" i="4"/>
  <c r="F28" i="4"/>
  <c r="F36" i="4"/>
  <c r="F50" i="4"/>
  <c r="F43" i="4"/>
  <c r="F48" i="4"/>
  <c r="F56" i="4"/>
  <c r="F29" i="4"/>
  <c r="F37" i="4"/>
  <c r="F49" i="4"/>
  <c r="F42" i="4"/>
  <c r="F30" i="4"/>
  <c r="F23" i="4"/>
  <c r="F31" i="4"/>
  <c r="E16" i="4"/>
  <c r="G27" i="9"/>
  <c r="H26" i="9"/>
  <c r="K26" i="9" s="1"/>
  <c r="F28" i="9"/>
  <c r="B28" i="9" s="1"/>
  <c r="D12" i="9"/>
  <c r="F29" i="9" s="1"/>
  <c r="D32" i="9"/>
  <c r="J31" i="9"/>
  <c r="D35" i="5"/>
  <c r="D36" i="5" s="1"/>
  <c r="D37" i="5" s="1"/>
  <c r="D38" i="5" s="1"/>
  <c r="D39" i="5" s="1"/>
  <c r="D40" i="5" s="1"/>
  <c r="D41" i="5" s="1"/>
  <c r="D42" i="5" s="1"/>
  <c r="D43" i="5" s="1"/>
  <c r="D44" i="5" s="1"/>
  <c r="D45" i="5" s="1"/>
  <c r="D46" i="5" s="1"/>
  <c r="D47" i="5" s="1"/>
  <c r="J47" i="5" s="1"/>
  <c r="F31" i="5"/>
  <c r="H28" i="7"/>
  <c r="G29" i="7"/>
  <c r="M29" i="7" s="1"/>
  <c r="J31" i="7"/>
  <c r="T31" i="7" s="1"/>
  <c r="D32" i="7"/>
  <c r="C28" i="7"/>
  <c r="C29" i="7"/>
  <c r="D5" i="4"/>
  <c r="D13" i="4"/>
  <c r="B7" i="4"/>
  <c r="M6" i="4"/>
  <c r="F15" i="5"/>
  <c r="F32" i="5" s="1"/>
  <c r="E6" i="4"/>
  <c r="D8" i="4"/>
  <c r="D16" i="4"/>
  <c r="E9" i="4"/>
  <c r="E17" i="4"/>
  <c r="F10" i="4"/>
  <c r="F18" i="4"/>
  <c r="D9" i="4"/>
  <c r="D17" i="4"/>
  <c r="E10" i="4"/>
  <c r="E18" i="4"/>
  <c r="F11" i="4"/>
  <c r="D10" i="4"/>
  <c r="D18" i="4"/>
  <c r="E11" i="4"/>
  <c r="F12" i="4"/>
  <c r="D11" i="4"/>
  <c r="E12" i="4"/>
  <c r="F5" i="4"/>
  <c r="F13" i="4"/>
  <c r="D4" i="4"/>
  <c r="D12" i="4"/>
  <c r="E5" i="4"/>
  <c r="E13" i="4"/>
  <c r="F6" i="4"/>
  <c r="F14" i="4"/>
  <c r="E14" i="4"/>
  <c r="F7" i="4"/>
  <c r="F15" i="4"/>
  <c r="D6" i="4"/>
  <c r="D14" i="4"/>
  <c r="E7" i="4"/>
  <c r="E15" i="4"/>
  <c r="F8" i="4"/>
  <c r="F16" i="4"/>
  <c r="D7" i="4"/>
  <c r="D15" i="4"/>
  <c r="E8" i="4"/>
  <c r="F9" i="4"/>
  <c r="E15" i="11" l="1"/>
  <c r="F15" i="11" s="1"/>
  <c r="G15" i="11" s="1"/>
  <c r="G10" i="4"/>
  <c r="E16" i="11"/>
  <c r="F16" i="11" s="1"/>
  <c r="G16" i="11" s="1"/>
  <c r="G11" i="4"/>
  <c r="E20" i="11"/>
  <c r="F20" i="11" s="1"/>
  <c r="G20" i="11" s="1"/>
  <c r="G15" i="4"/>
  <c r="E21" i="11"/>
  <c r="F21" i="11" s="1"/>
  <c r="G21" i="11" s="1"/>
  <c r="E42" i="27" s="1"/>
  <c r="F42" i="27" s="1"/>
  <c r="H42" i="27" s="1"/>
  <c r="G16" i="4"/>
  <c r="H16" i="4" s="1"/>
  <c r="E18" i="11"/>
  <c r="F18" i="11" s="1"/>
  <c r="G18" i="11" s="1"/>
  <c r="G13" i="4"/>
  <c r="E12" i="11"/>
  <c r="F12" i="11" s="1"/>
  <c r="G12" i="11" s="1"/>
  <c r="G7" i="4"/>
  <c r="E10" i="11"/>
  <c r="F10" i="11" s="1"/>
  <c r="G10" i="11" s="1"/>
  <c r="G5" i="4"/>
  <c r="E11" i="11"/>
  <c r="F11" i="11" s="1"/>
  <c r="G11" i="11" s="1"/>
  <c r="E32" i="27" s="1"/>
  <c r="F32" i="27" s="1"/>
  <c r="H32" i="27" s="1"/>
  <c r="G6" i="4"/>
  <c r="H6" i="4" s="1"/>
  <c r="E13" i="11"/>
  <c r="F13" i="11" s="1"/>
  <c r="G13" i="11" s="1"/>
  <c r="G8" i="4"/>
  <c r="E17" i="11"/>
  <c r="F17" i="11" s="1"/>
  <c r="G17" i="11" s="1"/>
  <c r="G12" i="4"/>
  <c r="O46" i="5"/>
  <c r="G17" i="4"/>
  <c r="E19" i="11"/>
  <c r="F19" i="11" s="1"/>
  <c r="G19" i="11" s="1"/>
  <c r="H19" i="11" s="1"/>
  <c r="G14" i="4"/>
  <c r="E14" i="11"/>
  <c r="F14" i="11" s="1"/>
  <c r="G14" i="11" s="1"/>
  <c r="G9" i="4"/>
  <c r="E23" i="11"/>
  <c r="F23" i="11" s="1"/>
  <c r="G23" i="11" s="1"/>
  <c r="G18" i="4"/>
  <c r="E34" i="27"/>
  <c r="F34" i="27" s="1"/>
  <c r="H34" i="27" s="1"/>
  <c r="H13" i="11"/>
  <c r="N13" i="11" s="1"/>
  <c r="D65" i="4"/>
  <c r="E65" i="4" s="1"/>
  <c r="H65" i="4" s="1"/>
  <c r="N65" i="4" s="1"/>
  <c r="E40" i="27"/>
  <c r="F40" i="27" s="1"/>
  <c r="H40" i="27" s="1"/>
  <c r="E33" i="27"/>
  <c r="F33" i="27" s="1"/>
  <c r="H33" i="27" s="1"/>
  <c r="H12" i="11"/>
  <c r="N12" i="11" s="1"/>
  <c r="D64" i="4"/>
  <c r="E64" i="4" s="1"/>
  <c r="H64" i="4" s="1"/>
  <c r="N64" i="4" s="1"/>
  <c r="E31" i="27"/>
  <c r="F31" i="27" s="1"/>
  <c r="H31" i="27" s="1"/>
  <c r="H10" i="11"/>
  <c r="N10" i="11" s="1"/>
  <c r="D62" i="4"/>
  <c r="E62" i="4" s="1"/>
  <c r="H62" i="4" s="1"/>
  <c r="N62" i="4" s="1"/>
  <c r="E38" i="27"/>
  <c r="F38" i="27" s="1"/>
  <c r="H38" i="27" s="1"/>
  <c r="H17" i="11"/>
  <c r="D69" i="4"/>
  <c r="E69" i="4" s="1"/>
  <c r="H69" i="4" s="1"/>
  <c r="N69" i="4" s="1"/>
  <c r="E35" i="27"/>
  <c r="F35" i="27" s="1"/>
  <c r="H35" i="27" s="1"/>
  <c r="H14" i="11"/>
  <c r="N14" i="11" s="1"/>
  <c r="D66" i="4"/>
  <c r="E66" i="4" s="1"/>
  <c r="H66" i="4" s="1"/>
  <c r="N66" i="4" s="1"/>
  <c r="E44" i="27"/>
  <c r="F44" i="27" s="1"/>
  <c r="H44" i="27" s="1"/>
  <c r="D75" i="4"/>
  <c r="E75" i="4" s="1"/>
  <c r="H75" i="4" s="1"/>
  <c r="N75" i="4" s="1"/>
  <c r="H23" i="11"/>
  <c r="E37" i="27"/>
  <c r="F37" i="27" s="1"/>
  <c r="H37" i="27" s="1"/>
  <c r="D68" i="4"/>
  <c r="E68" i="4" s="1"/>
  <c r="H68" i="4" s="1"/>
  <c r="N68" i="4" s="1"/>
  <c r="H16" i="11"/>
  <c r="H26" i="27"/>
  <c r="E36" i="27"/>
  <c r="F36" i="27" s="1"/>
  <c r="H36" i="27" s="1"/>
  <c r="D67" i="4"/>
  <c r="E67" i="4" s="1"/>
  <c r="H67" i="4" s="1"/>
  <c r="N67" i="4" s="1"/>
  <c r="H15" i="11"/>
  <c r="N15" i="11" s="1"/>
  <c r="E39" i="27"/>
  <c r="F39" i="27" s="1"/>
  <c r="H39" i="27" s="1"/>
  <c r="D70" i="4"/>
  <c r="E70" i="4" s="1"/>
  <c r="H70" i="4" s="1"/>
  <c r="N70" i="4" s="1"/>
  <c r="H18" i="11"/>
  <c r="E41" i="27"/>
  <c r="F41" i="27" s="1"/>
  <c r="H41" i="27" s="1"/>
  <c r="H20" i="11"/>
  <c r="D72" i="4"/>
  <c r="E72" i="4" s="1"/>
  <c r="H72" i="4" s="1"/>
  <c r="N72" i="4" s="1"/>
  <c r="E22" i="11"/>
  <c r="F22" i="11" s="1"/>
  <c r="G22" i="11" s="1"/>
  <c r="F5" i="19"/>
  <c r="D40" i="19"/>
  <c r="H4" i="4"/>
  <c r="E9" i="11"/>
  <c r="F9" i="11" s="1"/>
  <c r="G9" i="11" s="1"/>
  <c r="C32" i="5"/>
  <c r="Z47" i="5"/>
  <c r="Y47" i="5"/>
  <c r="T47" i="5"/>
  <c r="C17" i="11"/>
  <c r="A18" i="11"/>
  <c r="M15" i="11"/>
  <c r="O38" i="7"/>
  <c r="M38" i="9"/>
  <c r="G33" i="4"/>
  <c r="H33" i="4" s="1"/>
  <c r="N33" i="4" s="1"/>
  <c r="G52" i="4"/>
  <c r="H52" i="4" s="1"/>
  <c r="N52" i="4" s="1"/>
  <c r="G55" i="4"/>
  <c r="H55" i="4" s="1"/>
  <c r="G36" i="4"/>
  <c r="H36" i="4" s="1"/>
  <c r="G51" i="4"/>
  <c r="H51" i="4" s="1"/>
  <c r="N51" i="4" s="1"/>
  <c r="G32" i="4"/>
  <c r="H32" i="4" s="1"/>
  <c r="N32" i="4" s="1"/>
  <c r="G53" i="4"/>
  <c r="H53" i="4" s="1"/>
  <c r="N53" i="4" s="1"/>
  <c r="G34" i="4"/>
  <c r="H34" i="4" s="1"/>
  <c r="N34" i="4" s="1"/>
  <c r="G48" i="4"/>
  <c r="H48" i="4" s="1"/>
  <c r="N48" i="4" s="1"/>
  <c r="G29" i="4"/>
  <c r="H29" i="4" s="1"/>
  <c r="N29" i="4" s="1"/>
  <c r="G49" i="4"/>
  <c r="H49" i="4" s="1"/>
  <c r="N49" i="4" s="1"/>
  <c r="G30" i="4"/>
  <c r="H30" i="4" s="1"/>
  <c r="N30" i="4" s="1"/>
  <c r="G27" i="4"/>
  <c r="H27" i="4" s="1"/>
  <c r="N27" i="4" s="1"/>
  <c r="G46" i="4"/>
  <c r="H46" i="4" s="1"/>
  <c r="N46" i="4" s="1"/>
  <c r="G56" i="4"/>
  <c r="H56" i="4" s="1"/>
  <c r="G37" i="4"/>
  <c r="H37" i="4" s="1"/>
  <c r="G42" i="4"/>
  <c r="H42" i="4" s="1"/>
  <c r="N42" i="4" s="1"/>
  <c r="G23" i="4"/>
  <c r="H23" i="4" s="1"/>
  <c r="N23" i="4" s="1"/>
  <c r="G25" i="4"/>
  <c r="H25" i="4" s="1"/>
  <c r="N25" i="4" s="1"/>
  <c r="G44" i="4"/>
  <c r="H44" i="4" s="1"/>
  <c r="N44" i="4" s="1"/>
  <c r="G28" i="4"/>
  <c r="H28" i="4" s="1"/>
  <c r="N28" i="4" s="1"/>
  <c r="G47" i="4"/>
  <c r="H47" i="4" s="1"/>
  <c r="N47" i="4" s="1"/>
  <c r="G45" i="4"/>
  <c r="H45" i="4" s="1"/>
  <c r="N45" i="4" s="1"/>
  <c r="G26" i="4"/>
  <c r="H26" i="4" s="1"/>
  <c r="N26" i="4" s="1"/>
  <c r="H17" i="4"/>
  <c r="G50" i="4"/>
  <c r="H50" i="4" s="1"/>
  <c r="N50" i="4" s="1"/>
  <c r="G31" i="4"/>
  <c r="H31" i="4" s="1"/>
  <c r="N31" i="4" s="1"/>
  <c r="G35" i="4"/>
  <c r="H35" i="4" s="1"/>
  <c r="G54" i="4"/>
  <c r="H54" i="4" s="1"/>
  <c r="N54" i="4" s="1"/>
  <c r="G43" i="4"/>
  <c r="H43" i="4" s="1"/>
  <c r="N43" i="4" s="1"/>
  <c r="G24" i="4"/>
  <c r="H24" i="4" s="1"/>
  <c r="N24" i="4" s="1"/>
  <c r="M25" i="9"/>
  <c r="N25" i="9" s="1"/>
  <c r="S25" i="9" s="1"/>
  <c r="O36" i="7"/>
  <c r="M36" i="9"/>
  <c r="H15" i="4"/>
  <c r="O39" i="7"/>
  <c r="M39" i="9"/>
  <c r="H18" i="4"/>
  <c r="O28" i="7"/>
  <c r="P28" i="7" s="1"/>
  <c r="M28" i="9"/>
  <c r="N28" i="9" s="1"/>
  <c r="H7" i="4"/>
  <c r="O31" i="7"/>
  <c r="P31" i="7" s="1"/>
  <c r="M31" i="9"/>
  <c r="N31" i="9" s="1"/>
  <c r="H10" i="4"/>
  <c r="O37" i="7"/>
  <c r="M37" i="9"/>
  <c r="O29" i="7"/>
  <c r="P29" i="7" s="1"/>
  <c r="H8" i="4"/>
  <c r="M29" i="9"/>
  <c r="N29" i="9" s="1"/>
  <c r="O35" i="7"/>
  <c r="M35" i="9"/>
  <c r="H14" i="4"/>
  <c r="O32" i="7"/>
  <c r="M32" i="9"/>
  <c r="H11" i="4"/>
  <c r="O34" i="7"/>
  <c r="M34" i="9"/>
  <c r="H13" i="4"/>
  <c r="O27" i="7"/>
  <c r="P27" i="7" s="1"/>
  <c r="M27" i="9"/>
  <c r="N27" i="9" s="1"/>
  <c r="O26" i="7"/>
  <c r="P26" i="7" s="1"/>
  <c r="M26" i="9"/>
  <c r="N26" i="9" s="1"/>
  <c r="S26" i="9" s="1"/>
  <c r="H5" i="4"/>
  <c r="O30" i="7"/>
  <c r="P30" i="7" s="1"/>
  <c r="M30" i="9"/>
  <c r="N30" i="9" s="1"/>
  <c r="H9" i="4"/>
  <c r="O33" i="7"/>
  <c r="H12" i="4"/>
  <c r="M33" i="9"/>
  <c r="J32" i="9"/>
  <c r="D33" i="9"/>
  <c r="B29" i="9"/>
  <c r="F30" i="9"/>
  <c r="H27" i="9"/>
  <c r="K27" i="9" s="1"/>
  <c r="G28" i="9"/>
  <c r="J39" i="5"/>
  <c r="J37" i="5"/>
  <c r="J36" i="5"/>
  <c r="J41" i="5"/>
  <c r="J40" i="5"/>
  <c r="J43" i="5"/>
  <c r="J35" i="5"/>
  <c r="J44" i="5"/>
  <c r="J42" i="5"/>
  <c r="J46" i="5"/>
  <c r="J38" i="5"/>
  <c r="J45" i="5"/>
  <c r="G31" i="5"/>
  <c r="C31" i="5"/>
  <c r="H29" i="7"/>
  <c r="G30" i="7"/>
  <c r="M30" i="7" s="1"/>
  <c r="I42" i="5"/>
  <c r="I34" i="5"/>
  <c r="K26" i="7"/>
  <c r="U26" i="7" s="1"/>
  <c r="I39" i="5"/>
  <c r="I46" i="5"/>
  <c r="I36" i="5"/>
  <c r="K28" i="7"/>
  <c r="U28" i="7" s="1"/>
  <c r="I45" i="5"/>
  <c r="I40" i="5"/>
  <c r="I37" i="5"/>
  <c r="I43" i="5"/>
  <c r="I41" i="5"/>
  <c r="O25" i="7"/>
  <c r="P25" i="7" s="1"/>
  <c r="U25" i="7" s="1"/>
  <c r="I38" i="5"/>
  <c r="I35" i="5"/>
  <c r="K27" i="7"/>
  <c r="I44" i="5"/>
  <c r="I33" i="5"/>
  <c r="K33" i="5" s="1"/>
  <c r="I47" i="5"/>
  <c r="C30" i="7"/>
  <c r="J32" i="7"/>
  <c r="T32" i="7" s="1"/>
  <c r="D33" i="7"/>
  <c r="B8" i="4"/>
  <c r="M7" i="4"/>
  <c r="O36" i="5"/>
  <c r="O42" i="5"/>
  <c r="O39" i="5"/>
  <c r="O45" i="5"/>
  <c r="P45" i="5" s="1"/>
  <c r="O34" i="5"/>
  <c r="P34" i="5" s="1"/>
  <c r="O47" i="5"/>
  <c r="P47" i="5" s="1"/>
  <c r="O37" i="5"/>
  <c r="O43" i="5"/>
  <c r="P43" i="5" s="1"/>
  <c r="O40" i="5"/>
  <c r="O35" i="5"/>
  <c r="O44" i="5"/>
  <c r="O38" i="5"/>
  <c r="P38" i="5" s="1"/>
  <c r="O41" i="5"/>
  <c r="P41" i="5" s="1"/>
  <c r="O33" i="5"/>
  <c r="P33" i="5" s="1"/>
  <c r="F16" i="5"/>
  <c r="D73" i="4" l="1"/>
  <c r="E73" i="4" s="1"/>
  <c r="H73" i="4" s="1"/>
  <c r="N73" i="4" s="1"/>
  <c r="H21" i="11"/>
  <c r="D63" i="4"/>
  <c r="E63" i="4" s="1"/>
  <c r="H63" i="4" s="1"/>
  <c r="N63" i="4" s="1"/>
  <c r="H11" i="11"/>
  <c r="N11" i="11" s="1"/>
  <c r="D71" i="4"/>
  <c r="E71" i="4" s="1"/>
  <c r="H71" i="4" s="1"/>
  <c r="N71" i="4" s="1"/>
  <c r="U33" i="5"/>
  <c r="I27" i="31"/>
  <c r="H27" i="31"/>
  <c r="H27" i="10"/>
  <c r="I27" i="10"/>
  <c r="D14" i="19"/>
  <c r="E14" i="19" s="1"/>
  <c r="F14" i="19" s="1"/>
  <c r="D16" i="19"/>
  <c r="E16" i="19" s="1"/>
  <c r="F16" i="19" s="1"/>
  <c r="D13" i="19"/>
  <c r="D15" i="19"/>
  <c r="E15" i="19" s="1"/>
  <c r="F15" i="19" s="1"/>
  <c r="E43" i="27"/>
  <c r="F43" i="27" s="1"/>
  <c r="H43" i="27" s="1"/>
  <c r="H22" i="11"/>
  <c r="D74" i="4"/>
  <c r="E74" i="4" s="1"/>
  <c r="H74" i="4" s="1"/>
  <c r="N74" i="4" s="1"/>
  <c r="E30" i="27"/>
  <c r="F30" i="27" s="1"/>
  <c r="H30" i="27" s="1"/>
  <c r="H9" i="11"/>
  <c r="N9" i="11" s="1"/>
  <c r="D61" i="4"/>
  <c r="E61" i="4" s="1"/>
  <c r="H61" i="4" s="1"/>
  <c r="N61" i="4" s="1"/>
  <c r="N76" i="4" s="1"/>
  <c r="P39" i="5"/>
  <c r="Z38" i="5"/>
  <c r="Y38" i="5"/>
  <c r="T38" i="5"/>
  <c r="Y36" i="5"/>
  <c r="Z36" i="5"/>
  <c r="T36" i="5"/>
  <c r="Z41" i="5"/>
  <c r="Y41" i="5"/>
  <c r="T41" i="5"/>
  <c r="P46" i="5"/>
  <c r="Z46" i="5"/>
  <c r="Y46" i="5"/>
  <c r="T46" i="5"/>
  <c r="Z37" i="5"/>
  <c r="Y37" i="5"/>
  <c r="T37" i="5"/>
  <c r="Y40" i="5"/>
  <c r="Z40" i="5"/>
  <c r="T40" i="5"/>
  <c r="Z45" i="5"/>
  <c r="Y45" i="5"/>
  <c r="T45" i="5"/>
  <c r="P40" i="5"/>
  <c r="Y42" i="5"/>
  <c r="Z42" i="5"/>
  <c r="T42" i="5"/>
  <c r="P36" i="5"/>
  <c r="Z39" i="5"/>
  <c r="Y39" i="5"/>
  <c r="T39" i="5"/>
  <c r="Y44" i="5"/>
  <c r="Z44" i="5"/>
  <c r="T44" i="5"/>
  <c r="N4" i="4"/>
  <c r="J23" i="4"/>
  <c r="J42" i="4"/>
  <c r="J4" i="4"/>
  <c r="Z35" i="5"/>
  <c r="Y35" i="5"/>
  <c r="T35" i="5"/>
  <c r="Z43" i="5"/>
  <c r="Y43" i="5"/>
  <c r="T43" i="5"/>
  <c r="C18" i="11"/>
  <c r="A19" i="11"/>
  <c r="M16" i="11"/>
  <c r="N16" i="11"/>
  <c r="U27" i="7"/>
  <c r="S27" i="9"/>
  <c r="N35" i="4"/>
  <c r="N32" i="9"/>
  <c r="P32" i="7"/>
  <c r="G29" i="9"/>
  <c r="H28" i="9"/>
  <c r="K28" i="9" s="1"/>
  <c r="S28" i="9" s="1"/>
  <c r="B30" i="9"/>
  <c r="F31" i="9"/>
  <c r="D34" i="9"/>
  <c r="J33" i="9"/>
  <c r="N33" i="9" s="1"/>
  <c r="P37" i="5"/>
  <c r="P42" i="5"/>
  <c r="P44" i="5"/>
  <c r="P35" i="5"/>
  <c r="H31" i="5"/>
  <c r="G32" i="5"/>
  <c r="K29" i="7"/>
  <c r="U29" i="7" s="1"/>
  <c r="G31" i="7"/>
  <c r="M31" i="7" s="1"/>
  <c r="H30" i="7"/>
  <c r="K30" i="7" s="1"/>
  <c r="U30" i="7" s="1"/>
  <c r="C31" i="7"/>
  <c r="J33" i="7"/>
  <c r="D34" i="7"/>
  <c r="B9" i="4"/>
  <c r="M8" i="4"/>
  <c r="F17" i="5"/>
  <c r="F33" i="5"/>
  <c r="H45" i="27" l="1"/>
  <c r="E13" i="19"/>
  <c r="D23" i="19"/>
  <c r="D22" i="19" s="1"/>
  <c r="D25" i="19" s="1"/>
  <c r="D26" i="19" s="1"/>
  <c r="F26" i="19" s="1"/>
  <c r="J27" i="31"/>
  <c r="J27" i="10"/>
  <c r="H38" i="10"/>
  <c r="J28" i="10"/>
  <c r="J28" i="31"/>
  <c r="U28" i="31" s="1"/>
  <c r="H37" i="10"/>
  <c r="U29" i="31"/>
  <c r="H33" i="31"/>
  <c r="H34" i="31" s="1"/>
  <c r="U30" i="31"/>
  <c r="I33" i="31"/>
  <c r="I34" i="31" s="1"/>
  <c r="P33" i="7"/>
  <c r="T33" i="7"/>
  <c r="T48" i="5"/>
  <c r="Z48" i="5"/>
  <c r="Z50" i="5" s="1"/>
  <c r="Y48" i="5"/>
  <c r="J5" i="4"/>
  <c r="N5" i="4" s="1"/>
  <c r="J43" i="4"/>
  <c r="J24" i="4"/>
  <c r="C19" i="11"/>
  <c r="A20" i="11"/>
  <c r="M17" i="11"/>
  <c r="N17" i="11"/>
  <c r="N36" i="4"/>
  <c r="J34" i="9"/>
  <c r="N34" i="9" s="1"/>
  <c r="D35" i="9"/>
  <c r="B31" i="9"/>
  <c r="F32" i="9"/>
  <c r="H29" i="9"/>
  <c r="K29" i="9" s="1"/>
  <c r="S29" i="9" s="1"/>
  <c r="G30" i="9"/>
  <c r="P48" i="5"/>
  <c r="G33" i="5"/>
  <c r="M33" i="5" s="1"/>
  <c r="H32" i="5"/>
  <c r="C33" i="5"/>
  <c r="G32" i="7"/>
  <c r="M32" i="7" s="1"/>
  <c r="H31" i="7"/>
  <c r="K31" i="7" s="1"/>
  <c r="U31" i="7" s="1"/>
  <c r="C32" i="7"/>
  <c r="J34" i="7"/>
  <c r="D35" i="7"/>
  <c r="B10" i="4"/>
  <c r="M9" i="4"/>
  <c r="F18" i="5"/>
  <c r="F34" i="5"/>
  <c r="J33" i="10" l="1"/>
  <c r="U31" i="31"/>
  <c r="J33" i="31"/>
  <c r="D24" i="19"/>
  <c r="F13" i="19"/>
  <c r="E23" i="19"/>
  <c r="P51" i="5"/>
  <c r="P34" i="7"/>
  <c r="T34" i="7"/>
  <c r="J6" i="4"/>
  <c r="N6" i="4" s="1"/>
  <c r="J25" i="4"/>
  <c r="J44" i="4"/>
  <c r="A21" i="11"/>
  <c r="C20" i="11"/>
  <c r="M18" i="11"/>
  <c r="N18" i="11"/>
  <c r="G31" i="9"/>
  <c r="H30" i="9"/>
  <c r="K30" i="9" s="1"/>
  <c r="S30" i="9" s="1"/>
  <c r="B32" i="9"/>
  <c r="F33" i="9"/>
  <c r="D36" i="9"/>
  <c r="J35" i="9"/>
  <c r="N35" i="9" s="1"/>
  <c r="G34" i="5"/>
  <c r="M34" i="5" s="1"/>
  <c r="H34" i="5"/>
  <c r="K34" i="5" s="1"/>
  <c r="U34" i="5" s="1"/>
  <c r="C34" i="5"/>
  <c r="H33" i="5"/>
  <c r="G33" i="7"/>
  <c r="M33" i="7" s="1"/>
  <c r="H32" i="7"/>
  <c r="K32" i="7" s="1"/>
  <c r="U32" i="7" s="1"/>
  <c r="C33" i="7"/>
  <c r="J35" i="7"/>
  <c r="D36" i="7"/>
  <c r="B11" i="4"/>
  <c r="M10" i="4"/>
  <c r="F19" i="5"/>
  <c r="F35" i="5"/>
  <c r="D34" i="19" l="1"/>
  <c r="E22" i="19"/>
  <c r="F23" i="19"/>
  <c r="P35" i="7"/>
  <c r="T35" i="7"/>
  <c r="J7" i="4"/>
  <c r="N7" i="4" s="1"/>
  <c r="J26" i="4"/>
  <c r="J45" i="4"/>
  <c r="A22" i="11"/>
  <c r="C21" i="11"/>
  <c r="M19" i="11"/>
  <c r="N19" i="11"/>
  <c r="J36" i="9"/>
  <c r="N36" i="9" s="1"/>
  <c r="D37" i="9"/>
  <c r="B33" i="9"/>
  <c r="F34" i="9"/>
  <c r="H31" i="9"/>
  <c r="K31" i="9" s="1"/>
  <c r="S31" i="9" s="1"/>
  <c r="G32" i="9"/>
  <c r="G35" i="5"/>
  <c r="C35" i="5"/>
  <c r="H33" i="7"/>
  <c r="K33" i="7" s="1"/>
  <c r="U33" i="7" s="1"/>
  <c r="G34" i="7"/>
  <c r="M34" i="7" s="1"/>
  <c r="C34" i="7"/>
  <c r="D37" i="7"/>
  <c r="J36" i="7"/>
  <c r="B12" i="4"/>
  <c r="M11" i="4"/>
  <c r="F20" i="5"/>
  <c r="F36" i="5"/>
  <c r="E24" i="19" l="1"/>
  <c r="F24" i="19" s="1"/>
  <c r="E25" i="19"/>
  <c r="F22" i="19"/>
  <c r="E34" i="19"/>
  <c r="D36" i="19"/>
  <c r="P36" i="7"/>
  <c r="T36" i="7"/>
  <c r="H35" i="5"/>
  <c r="K35" i="5" s="1"/>
  <c r="U35" i="5" s="1"/>
  <c r="M35" i="5"/>
  <c r="J46" i="4"/>
  <c r="J27" i="4"/>
  <c r="A23" i="11"/>
  <c r="C23" i="11" s="1"/>
  <c r="C22" i="11"/>
  <c r="M20" i="11"/>
  <c r="N20" i="11"/>
  <c r="G33" i="9"/>
  <c r="H32" i="9"/>
  <c r="K32" i="9" s="1"/>
  <c r="S32" i="9" s="1"/>
  <c r="B34" i="9"/>
  <c r="F35" i="9"/>
  <c r="D38" i="9"/>
  <c r="J37" i="9"/>
  <c r="N37" i="9" s="1"/>
  <c r="F37" i="5"/>
  <c r="J8" i="4"/>
  <c r="J9" i="4" s="1"/>
  <c r="C36" i="5"/>
  <c r="G36" i="5"/>
  <c r="M36" i="5" s="1"/>
  <c r="H34" i="7"/>
  <c r="K34" i="7" s="1"/>
  <c r="U34" i="7" s="1"/>
  <c r="G35" i="7"/>
  <c r="M35" i="7" s="1"/>
  <c r="J37" i="7"/>
  <c r="D38" i="7"/>
  <c r="C35" i="7"/>
  <c r="B13" i="4"/>
  <c r="M12" i="4"/>
  <c r="D38" i="19" l="1"/>
  <c r="E36" i="19"/>
  <c r="H31" i="17"/>
  <c r="C22" i="19"/>
  <c r="F25" i="19"/>
  <c r="E27" i="19"/>
  <c r="F27" i="19" s="1"/>
  <c r="P37" i="7"/>
  <c r="T37" i="7"/>
  <c r="J47" i="4"/>
  <c r="J28" i="4"/>
  <c r="M21" i="11"/>
  <c r="N21" i="11"/>
  <c r="J38" i="9"/>
  <c r="N38" i="9" s="1"/>
  <c r="D39" i="9"/>
  <c r="J39" i="9" s="1"/>
  <c r="N39" i="9" s="1"/>
  <c r="B35" i="9"/>
  <c r="F36" i="9"/>
  <c r="H33" i="9"/>
  <c r="K33" i="9" s="1"/>
  <c r="S33" i="9" s="1"/>
  <c r="G34" i="9"/>
  <c r="G37" i="5"/>
  <c r="H36" i="5"/>
  <c r="K36" i="5" s="1"/>
  <c r="U36" i="5" s="1"/>
  <c r="N8" i="4"/>
  <c r="C37" i="5"/>
  <c r="F38" i="5"/>
  <c r="H35" i="7"/>
  <c r="K35" i="7" s="1"/>
  <c r="U35" i="7" s="1"/>
  <c r="G36" i="7"/>
  <c r="M36" i="7" s="1"/>
  <c r="D39" i="7"/>
  <c r="J39" i="7" s="1"/>
  <c r="J38" i="7"/>
  <c r="C36" i="7"/>
  <c r="B14" i="4"/>
  <c r="M13" i="4"/>
  <c r="H32" i="17" l="1"/>
  <c r="H33" i="17" s="1"/>
  <c r="G50" i="17"/>
  <c r="G51" i="17" s="1"/>
  <c r="D42" i="19"/>
  <c r="E38" i="19"/>
  <c r="P39" i="7"/>
  <c r="T39" i="7"/>
  <c r="P38" i="7"/>
  <c r="T38" i="7"/>
  <c r="H37" i="5"/>
  <c r="K37" i="5" s="1"/>
  <c r="U37" i="5" s="1"/>
  <c r="M37" i="5"/>
  <c r="J48" i="4"/>
  <c r="J29" i="4"/>
  <c r="M23" i="11"/>
  <c r="N23" i="11"/>
  <c r="M22" i="11"/>
  <c r="N22" i="11"/>
  <c r="N40" i="9"/>
  <c r="G35" i="9"/>
  <c r="H34" i="9"/>
  <c r="K34" i="9" s="1"/>
  <c r="S34" i="9" s="1"/>
  <c r="B36" i="9"/>
  <c r="F37" i="9"/>
  <c r="C38" i="5"/>
  <c r="F39" i="5"/>
  <c r="J10" i="4"/>
  <c r="N9" i="4"/>
  <c r="G38" i="5"/>
  <c r="M38" i="5" s="1"/>
  <c r="G37" i="7"/>
  <c r="M37" i="7" s="1"/>
  <c r="H36" i="7"/>
  <c r="K36" i="7" s="1"/>
  <c r="U36" i="7" s="1"/>
  <c r="C37" i="7"/>
  <c r="B15" i="4"/>
  <c r="M14" i="4"/>
  <c r="P40" i="7" l="1"/>
  <c r="T40" i="7"/>
  <c r="J30" i="4"/>
  <c r="J49" i="4"/>
  <c r="H24" i="11"/>
  <c r="M24" i="11"/>
  <c r="Q24" i="11"/>
  <c r="Q26" i="11" s="1"/>
  <c r="P24" i="11"/>
  <c r="J6" i="10" s="1"/>
  <c r="B37" i="9"/>
  <c r="F38" i="9"/>
  <c r="H35" i="9"/>
  <c r="K35" i="9" s="1"/>
  <c r="S35" i="9" s="1"/>
  <c r="G36" i="9"/>
  <c r="G39" i="5"/>
  <c r="M39" i="5" s="1"/>
  <c r="H38" i="5"/>
  <c r="K38" i="5" s="1"/>
  <c r="U38" i="5" s="1"/>
  <c r="J11" i="4"/>
  <c r="N10" i="4"/>
  <c r="F40" i="5"/>
  <c r="C39" i="5"/>
  <c r="H37" i="7"/>
  <c r="K37" i="7" s="1"/>
  <c r="U37" i="7" s="1"/>
  <c r="G38" i="7"/>
  <c r="M38" i="7" s="1"/>
  <c r="C39" i="7"/>
  <c r="C38" i="7"/>
  <c r="B16" i="4"/>
  <c r="M15" i="4"/>
  <c r="J5" i="10" l="1"/>
  <c r="I39" i="10" s="1"/>
  <c r="J39" i="10" s="1"/>
  <c r="J5" i="31"/>
  <c r="J50" i="4"/>
  <c r="J31" i="4"/>
  <c r="J13" i="10"/>
  <c r="J11" i="10"/>
  <c r="J25" i="10" s="1"/>
  <c r="J34" i="10" s="1"/>
  <c r="G37" i="9"/>
  <c r="H36" i="9"/>
  <c r="K36" i="9" s="1"/>
  <c r="S36" i="9" s="1"/>
  <c r="B38" i="9"/>
  <c r="F39" i="9"/>
  <c r="B39" i="9" s="1"/>
  <c r="F41" i="5"/>
  <c r="C40" i="5"/>
  <c r="J12" i="4"/>
  <c r="N11" i="4"/>
  <c r="G40" i="5"/>
  <c r="M40" i="5" s="1"/>
  <c r="H39" i="5"/>
  <c r="K39" i="5" s="1"/>
  <c r="U39" i="5" s="1"/>
  <c r="G39" i="7"/>
  <c r="H38" i="7"/>
  <c r="K38" i="7" s="1"/>
  <c r="U38" i="7" s="1"/>
  <c r="B17" i="4"/>
  <c r="M16" i="4"/>
  <c r="O7" i="31" l="1"/>
  <c r="J25" i="31"/>
  <c r="J34" i="31" s="1"/>
  <c r="H39" i="7"/>
  <c r="K39" i="7" s="1"/>
  <c r="U39" i="7" s="1"/>
  <c r="U40" i="7" s="1"/>
  <c r="M39" i="7"/>
  <c r="J32" i="4"/>
  <c r="J51" i="4"/>
  <c r="H37" i="9"/>
  <c r="K37" i="9" s="1"/>
  <c r="S37" i="9" s="1"/>
  <c r="G38" i="9"/>
  <c r="G41" i="5"/>
  <c r="M41" i="5" s="1"/>
  <c r="H40" i="5"/>
  <c r="K40" i="5" s="1"/>
  <c r="U40" i="5" s="1"/>
  <c r="J13" i="4"/>
  <c r="N12" i="4"/>
  <c r="F42" i="5"/>
  <c r="C41" i="5"/>
  <c r="B18" i="4"/>
  <c r="M18" i="4" s="1"/>
  <c r="M17" i="4"/>
  <c r="K40" i="7" l="1"/>
  <c r="J52" i="4"/>
  <c r="J33" i="4"/>
  <c r="G39" i="9"/>
  <c r="H39" i="9" s="1"/>
  <c r="K39" i="9" s="1"/>
  <c r="S39" i="9" s="1"/>
  <c r="H38" i="9"/>
  <c r="K38" i="9" s="1"/>
  <c r="S38" i="9" s="1"/>
  <c r="F43" i="5"/>
  <c r="C42" i="5"/>
  <c r="J14" i="4"/>
  <c r="N13" i="4"/>
  <c r="G42" i="5"/>
  <c r="M42" i="5" s="1"/>
  <c r="H41" i="5"/>
  <c r="K41" i="5" s="1"/>
  <c r="U41" i="5" s="1"/>
  <c r="J34" i="4" l="1"/>
  <c r="J53" i="4"/>
  <c r="N24" i="11"/>
  <c r="S40" i="9"/>
  <c r="K40" i="9"/>
  <c r="G43" i="5"/>
  <c r="M43" i="5" s="1"/>
  <c r="H42" i="5"/>
  <c r="K42" i="5" s="1"/>
  <c r="U42" i="5" s="1"/>
  <c r="J15" i="4"/>
  <c r="N14" i="4"/>
  <c r="F44" i="5"/>
  <c r="C43" i="5"/>
  <c r="J35" i="4" l="1"/>
  <c r="J54" i="4"/>
  <c r="F45" i="5"/>
  <c r="C44" i="5"/>
  <c r="J16" i="4"/>
  <c r="N15" i="4"/>
  <c r="G44" i="5"/>
  <c r="M44" i="5" s="1"/>
  <c r="H43" i="5"/>
  <c r="K43" i="5" s="1"/>
  <c r="U43" i="5" s="1"/>
  <c r="J55" i="4" l="1"/>
  <c r="N55" i="4" s="1"/>
  <c r="J36" i="4"/>
  <c r="J17" i="4"/>
  <c r="N16" i="4"/>
  <c r="G45" i="5"/>
  <c r="M45" i="5" s="1"/>
  <c r="H44" i="5"/>
  <c r="K44" i="5" s="1"/>
  <c r="U44" i="5" s="1"/>
  <c r="F46" i="5"/>
  <c r="C45" i="5"/>
  <c r="J56" i="4" l="1"/>
  <c r="N56" i="4" s="1"/>
  <c r="N57" i="4" s="1"/>
  <c r="J37" i="4"/>
  <c r="N37" i="4" s="1"/>
  <c r="N38" i="4" s="1"/>
  <c r="I28" i="10" s="1"/>
  <c r="F47" i="5"/>
  <c r="C47" i="5" s="1"/>
  <c r="C46" i="5"/>
  <c r="G46" i="5"/>
  <c r="M46" i="5" s="1"/>
  <c r="H45" i="5"/>
  <c r="K45" i="5" s="1"/>
  <c r="U45" i="5" s="1"/>
  <c r="J18" i="4"/>
  <c r="N18" i="4" s="1"/>
  <c r="N17" i="4"/>
  <c r="I38" i="10" l="1"/>
  <c r="J38" i="10" s="1"/>
  <c r="I33" i="10"/>
  <c r="I34" i="10" s="1"/>
  <c r="N19" i="4"/>
  <c r="H28" i="10" s="1"/>
  <c r="G47" i="5"/>
  <c r="H46" i="5"/>
  <c r="K46" i="5" s="1"/>
  <c r="U46" i="5" s="1"/>
  <c r="I37" i="10" l="1"/>
  <c r="J37" i="10" s="1"/>
  <c r="H33" i="10"/>
  <c r="H34" i="10" s="1"/>
  <c r="H47" i="5"/>
  <c r="K47" i="5" s="1"/>
  <c r="U47" i="5" s="1"/>
  <c r="U48" i="5" s="1"/>
  <c r="M47" i="5"/>
  <c r="K48" i="5"/>
  <c r="Q51" i="5" s="1"/>
</calcChain>
</file>

<file path=xl/sharedStrings.xml><?xml version="1.0" encoding="utf-8"?>
<sst xmlns="http://schemas.openxmlformats.org/spreadsheetml/2006/main" count="1471" uniqueCount="616">
  <si>
    <t>Dhill/6/7/24</t>
  </si>
  <si>
    <t>This workbook has been developed by Energy Futures Group to provide illustrative examples of the application of benefit cost framework for Nova Scotia for the screening of the 2026-2030 EOne Demand Side Management Application.</t>
  </si>
  <si>
    <t>The values in this workbook may be different for the values used by EOne in the Plan Application.</t>
  </si>
  <si>
    <t xml:space="preserve">The workbook provides examples of how the proposed benefit cost analysis framework and calculations are structured. </t>
  </si>
  <si>
    <t>Questions or comments:  dhill@energyfuturesgroup.com</t>
  </si>
  <si>
    <t>Illustrative Example of 1,000 Heat Pumps</t>
  </si>
  <si>
    <t xml:space="preserve">The first set of sheets (blue color tabs) the recommended Nova Scotia test that includes utility system impacts, other fuels, GHG and other air pollutant impacts, and host customer costs and benefits.    </t>
  </si>
  <si>
    <t xml:space="preserve">Blue tab worksheet descriptions: </t>
  </si>
  <si>
    <r>
      <rPr>
        <b/>
        <sz val="11"/>
        <color theme="1"/>
        <rFont val="Aptos Narrow"/>
        <family val="2"/>
        <scheme val="minor"/>
      </rPr>
      <t>Res Heat Pump Summary Table</t>
    </r>
    <r>
      <rPr>
        <sz val="11"/>
        <color theme="1"/>
        <rFont val="Aptos Narrow"/>
        <family val="2"/>
        <scheme val="minor"/>
      </rPr>
      <t xml:space="preserve"> - Results for 1,000 residential heat pumps installed in 2026 replacing heating oil, pipeline gas and electric resistance heating.</t>
    </r>
  </si>
  <si>
    <t>Res HP Summary Pivot Chart - Graphic results allowing to look at one or more impact, and one or more cases (FO, NG, and Electric resistance replacements).</t>
  </si>
  <si>
    <r>
      <rPr>
        <b/>
        <sz val="11"/>
        <color theme="1"/>
        <rFont val="Aptos Narrow"/>
        <family val="2"/>
        <scheme val="minor"/>
      </rPr>
      <t>Residential Heat Pump Measure</t>
    </r>
    <r>
      <rPr>
        <sz val="11"/>
        <color theme="1"/>
        <rFont val="Aptos Narrow"/>
        <family val="2"/>
        <scheme val="minor"/>
      </rPr>
      <t xml:space="preserve"> - Input assumptions and calculations</t>
    </r>
  </si>
  <si>
    <r>
      <rPr>
        <b/>
        <sz val="11"/>
        <color theme="1"/>
        <rFont val="Aptos Narrow"/>
        <family val="2"/>
        <scheme val="minor"/>
      </rPr>
      <t>Other Fuel Impact Heating Oil, Nat Gas, Electric, and Propane</t>
    </r>
    <r>
      <rPr>
        <sz val="11"/>
        <color theme="1"/>
        <rFont val="Aptos Narrow"/>
        <family val="2"/>
        <scheme val="minor"/>
      </rPr>
      <t xml:space="preserve"> (4 sheets) - Results of other fuel savings and increased electric system consumption</t>
    </r>
  </si>
  <si>
    <r>
      <rPr>
        <b/>
        <sz val="11"/>
        <color theme="1"/>
        <rFont val="Aptos Narrow"/>
        <family val="2"/>
        <scheme val="minor"/>
      </rPr>
      <t>Other Fuels References</t>
    </r>
    <r>
      <rPr>
        <sz val="11"/>
        <color theme="1"/>
        <rFont val="Aptos Narrow"/>
        <family val="2"/>
        <scheme val="minor"/>
      </rPr>
      <t xml:space="preserve"> - other fuel values and citations</t>
    </r>
  </si>
  <si>
    <r>
      <rPr>
        <b/>
        <sz val="11"/>
        <color theme="1"/>
        <rFont val="Aptos Narrow"/>
        <family val="2"/>
        <scheme val="minor"/>
      </rPr>
      <t>GHG Impact Summary</t>
    </r>
    <r>
      <rPr>
        <sz val="11"/>
        <color theme="1"/>
        <rFont val="Aptos Narrow"/>
        <family val="2"/>
        <scheme val="minor"/>
      </rPr>
      <t xml:space="preserve"> - Net impacts on GHG emissions valued at SCC for CO2, using 2% social discount rate</t>
    </r>
  </si>
  <si>
    <r>
      <rPr>
        <b/>
        <sz val="11"/>
        <color theme="1"/>
        <rFont val="Aptos Narrow"/>
        <family val="2"/>
        <scheme val="minor"/>
      </rPr>
      <t>SCC in 2021 CDN</t>
    </r>
    <r>
      <rPr>
        <sz val="11"/>
        <color theme="1"/>
        <rFont val="Aptos Narrow"/>
        <family val="2"/>
        <scheme val="minor"/>
      </rPr>
      <t xml:space="preserve"> - Social Cost of Greenhouse Gas Estimates – Interim Updated Guidance for the Government of Canada</t>
    </r>
  </si>
  <si>
    <r>
      <rPr>
        <b/>
        <sz val="11"/>
        <color theme="1"/>
        <rFont val="Aptos Narrow"/>
        <family val="2"/>
        <scheme val="minor"/>
      </rPr>
      <t>Electric Emissions Intensity</t>
    </r>
    <r>
      <rPr>
        <sz val="11"/>
        <color theme="1"/>
        <rFont val="Aptos Narrow"/>
        <family val="2"/>
        <scheme val="minor"/>
      </rPr>
      <t xml:space="preserve"> - Accounts for reductions or increases in emissions from electric system based on IRP and DICE calculations from 2023-2025 Plan.</t>
    </r>
  </si>
  <si>
    <t>Heat Pump with Weatherization and Solar and Storage Examples</t>
  </si>
  <si>
    <t xml:space="preserve">The second set of sheets green color tabs illustrate examples for solar, solar + storage, and a residential heat pump with weatherization using a BCA framework that includes host customer costs and benefits, in addition to the utility </t>
  </si>
  <si>
    <t xml:space="preserve">system impacts, other fuel impacts, and GHG impacts.  </t>
  </si>
  <si>
    <t xml:space="preserve">The green tab worksheets are material that was reviewed and discussed during the second portion of the 5th working group meeting.  </t>
  </si>
  <si>
    <t xml:space="preserve">Note that some of the worksheets those with (2) are duplicative of the same blue tab worksheets, but are included to maintain cell references. </t>
  </si>
  <si>
    <t xml:space="preserve">Green tab worksheet descriptions: </t>
  </si>
  <si>
    <r>
      <rPr>
        <b/>
        <sz val="11"/>
        <color theme="1"/>
        <rFont val="Aptos Narrow"/>
        <family val="2"/>
        <scheme val="minor"/>
      </rPr>
      <t>Host Customer Impacts</t>
    </r>
    <r>
      <rPr>
        <sz val="11"/>
        <color theme="1"/>
        <rFont val="Aptos Narrow"/>
        <family val="2"/>
        <scheme val="minor"/>
      </rPr>
      <t xml:space="preserve"> -  List of host customer impact categories and applicability by DER.</t>
    </r>
  </si>
  <si>
    <r>
      <rPr>
        <b/>
        <sz val="11"/>
        <color theme="1"/>
        <rFont val="Aptos Narrow"/>
        <family val="2"/>
        <scheme val="minor"/>
      </rPr>
      <t>Host Customer by DER Matrix</t>
    </r>
    <r>
      <rPr>
        <sz val="11"/>
        <color theme="1"/>
        <rFont val="Aptos Narrow"/>
        <family val="2"/>
        <scheme val="minor"/>
      </rPr>
      <t xml:space="preserve"> - Suggested values as % of Net Energy Benefits for host customer non-energy benefits by DER type.</t>
    </r>
  </si>
  <si>
    <r>
      <rPr>
        <b/>
        <sz val="11"/>
        <color theme="1"/>
        <rFont val="Aptos Narrow"/>
        <family val="2"/>
        <scheme val="minor"/>
      </rPr>
      <t>Solar + Storage</t>
    </r>
    <r>
      <rPr>
        <sz val="11"/>
        <color theme="1"/>
        <rFont val="Aptos Narrow"/>
        <family val="2"/>
        <scheme val="minor"/>
      </rPr>
      <t xml:space="preserve"> - Examples for solar and solar+ storage for income qualified and non-income qualified participants, with graphic results for 4 cases at bottom of sheet.</t>
    </r>
  </si>
  <si>
    <r>
      <rPr>
        <b/>
        <sz val="11"/>
        <color theme="1"/>
        <rFont val="Aptos Narrow"/>
        <family val="2"/>
        <scheme val="minor"/>
      </rPr>
      <t>Jurisdiction Table</t>
    </r>
    <r>
      <rPr>
        <sz val="11"/>
        <color theme="1"/>
        <rFont val="Aptos Narrow"/>
        <family val="2"/>
        <scheme val="minor"/>
      </rPr>
      <t xml:space="preserve"> - Treatment of Host Customer NEIs in other jurisdiction references</t>
    </r>
  </si>
  <si>
    <t>Wx+HP Summary Table - Summary results for income qualified single install of HP and Wx using test including host customer impacts</t>
  </si>
  <si>
    <r>
      <rPr>
        <b/>
        <sz val="11"/>
        <color theme="1"/>
        <rFont val="Aptos Narrow"/>
        <family val="2"/>
        <scheme val="minor"/>
      </rPr>
      <t>Weatherization</t>
    </r>
    <r>
      <rPr>
        <sz val="11"/>
        <color theme="1"/>
        <rFont val="Aptos Narrow"/>
        <family val="2"/>
        <scheme val="minor"/>
      </rPr>
      <t xml:space="preserve"> - weatherization input assumptions and calculations</t>
    </r>
  </si>
  <si>
    <r>
      <rPr>
        <b/>
        <sz val="11"/>
        <color theme="1"/>
        <rFont val="Aptos Narrow"/>
        <family val="2"/>
        <scheme val="minor"/>
      </rPr>
      <t>Residential Heat Pump Measure (2)</t>
    </r>
    <r>
      <rPr>
        <sz val="11"/>
        <color theme="1"/>
        <rFont val="Aptos Narrow"/>
        <family val="2"/>
        <scheme val="minor"/>
      </rPr>
      <t xml:space="preserve"> - assumptions and calcs.</t>
    </r>
  </si>
  <si>
    <r>
      <rPr>
        <b/>
        <sz val="11"/>
        <color theme="1"/>
        <rFont val="Aptos Narrow"/>
        <family val="2"/>
        <scheme val="minor"/>
      </rPr>
      <t>Other Fuels References (2)</t>
    </r>
    <r>
      <rPr>
        <sz val="11"/>
        <color theme="1"/>
        <rFont val="Aptos Narrow"/>
        <family val="2"/>
        <scheme val="minor"/>
      </rPr>
      <t xml:space="preserve"> - references for other fuel costs and emission intensities.</t>
    </r>
  </si>
  <si>
    <r>
      <rPr>
        <b/>
        <sz val="11"/>
        <color theme="1"/>
        <rFont val="Aptos Narrow"/>
        <family val="2"/>
        <scheme val="minor"/>
      </rPr>
      <t>GHG Impact Summary(2)</t>
    </r>
    <r>
      <rPr>
        <sz val="11"/>
        <color theme="1"/>
        <rFont val="Aptos Narrow"/>
        <family val="2"/>
        <scheme val="minor"/>
      </rPr>
      <t xml:space="preserve"> - GHG impact calculations for single HP WX replacing fuel oil.</t>
    </r>
  </si>
  <si>
    <r>
      <rPr>
        <b/>
        <sz val="11"/>
        <color theme="1"/>
        <rFont val="Aptos Narrow"/>
        <family val="2"/>
        <scheme val="minor"/>
      </rPr>
      <t xml:space="preserve">SCC in 2021 CDN (2) </t>
    </r>
    <r>
      <rPr>
        <sz val="11"/>
        <color theme="1"/>
        <rFont val="Aptos Narrow"/>
        <family val="2"/>
        <scheme val="minor"/>
      </rPr>
      <t>- Social cost of CO2</t>
    </r>
  </si>
  <si>
    <r>
      <rPr>
        <b/>
        <sz val="11"/>
        <color theme="1"/>
        <rFont val="Aptos Narrow"/>
        <family val="2"/>
        <scheme val="minor"/>
      </rPr>
      <t xml:space="preserve">Electric Emissions Intensities (2) </t>
    </r>
    <r>
      <rPr>
        <sz val="11"/>
        <color theme="1"/>
        <rFont val="Aptos Narrow"/>
        <family val="2"/>
        <scheme val="minor"/>
      </rPr>
      <t>- Electric emissions intensity</t>
    </r>
  </si>
  <si>
    <r>
      <rPr>
        <b/>
        <sz val="11"/>
        <color theme="1"/>
        <rFont val="Aptos Narrow"/>
        <family val="2"/>
        <scheme val="minor"/>
      </rPr>
      <t>Other Fuel Impact Heating Oil (2)</t>
    </r>
    <r>
      <rPr>
        <sz val="11"/>
        <color theme="1"/>
        <rFont val="Aptos Narrow"/>
        <family val="2"/>
        <scheme val="minor"/>
      </rPr>
      <t xml:space="preserve"> - avoided heating oil calc for single HP+WX installation</t>
    </r>
  </si>
  <si>
    <t>Nova Scotia Test ($Million), 2% Social Discount Rate, Using 2023-2025 Avoided Costs:</t>
  </si>
  <si>
    <t>Example based on 1,000 Heat Pump Replacements in Program Year 2026</t>
  </si>
  <si>
    <t>Category</t>
  </si>
  <si>
    <t>Impact</t>
  </si>
  <si>
    <t>Basis for Estimation</t>
  </si>
  <si>
    <t>HP- Fuel Oil</t>
  </si>
  <si>
    <t>HP- Ngas</t>
  </si>
  <si>
    <t>HP- Elec. Resist</t>
  </si>
  <si>
    <t>Utility System Impacts</t>
  </si>
  <si>
    <t>Generation</t>
  </si>
  <si>
    <t xml:space="preserve">Energy Generation </t>
  </si>
  <si>
    <t>Updated NSP Avoided Costs (time and seasonal dependent)</t>
  </si>
  <si>
    <t>Capacity</t>
  </si>
  <si>
    <t>Environmental Compliance</t>
  </si>
  <si>
    <t>Should be reflected in Avoided Costs</t>
  </si>
  <si>
    <t>RPS/CES Compliance</t>
  </si>
  <si>
    <t>Market Price Effects</t>
  </si>
  <si>
    <t>NA</t>
  </si>
  <si>
    <t>Ancillary Services</t>
  </si>
  <si>
    <t>Transmission</t>
  </si>
  <si>
    <t>Transmission Capacity</t>
  </si>
  <si>
    <t>Updated NSP Avoided  Costs, Example Split 50/50 T&amp;D</t>
  </si>
  <si>
    <t>Transmission System Losses</t>
  </si>
  <si>
    <t>Should reflect marginal losses from generator</t>
  </si>
  <si>
    <t>Distribution</t>
  </si>
  <si>
    <t xml:space="preserve">Distribution Capacity </t>
  </si>
  <si>
    <t>Updated NSP Avoided  Costs, Not based on historic</t>
  </si>
  <si>
    <t>Distribution System Losses</t>
  </si>
  <si>
    <t>Distribution O&amp;M</t>
  </si>
  <si>
    <t>Distribution Voltage</t>
  </si>
  <si>
    <t>NM</t>
  </si>
  <si>
    <t>General</t>
  </si>
  <si>
    <t>Financial Incentives</t>
  </si>
  <si>
    <t>EOne Incentives</t>
  </si>
  <si>
    <t>Utility Direct Investments in DERs</t>
  </si>
  <si>
    <t>NSP investment for enabling DERs</t>
  </si>
  <si>
    <t>Program Administration</t>
  </si>
  <si>
    <t>EOne program Admin</t>
  </si>
  <si>
    <t>Utility Performance Incentives</t>
  </si>
  <si>
    <t>Credit and Collection</t>
  </si>
  <si>
    <t>Need to be developed</t>
  </si>
  <si>
    <t>Risk</t>
  </si>
  <si>
    <t xml:space="preserve">Reliability </t>
  </si>
  <si>
    <t>Resilience</t>
  </si>
  <si>
    <t>Sub Total Electric Impacts</t>
  </si>
  <si>
    <t>Non Utility Impacts</t>
  </si>
  <si>
    <t>Other Fuels</t>
  </si>
  <si>
    <t>Avoided Heating Oil/Natural Gas</t>
  </si>
  <si>
    <t>Fuel cost projection minus embedded carbon price</t>
  </si>
  <si>
    <t>Other Air Pollutants</t>
  </si>
  <si>
    <t>Health Impacts from Increase/Decrease in Electric Generation</t>
  </si>
  <si>
    <t>US EPA Benefit per kWh for New England</t>
  </si>
  <si>
    <t>Greenhouse Gas Impacts</t>
  </si>
  <si>
    <t>Avoided Social Costs for CO2</t>
  </si>
  <si>
    <t>Social cost of carbon &amp; electric and avoided fuel emission intensities</t>
  </si>
  <si>
    <t>Host Custmer Impacts</t>
  </si>
  <si>
    <t>Direct</t>
  </si>
  <si>
    <t>Direct measure costs</t>
  </si>
  <si>
    <t>Host customer measure costs net of incentives</t>
  </si>
  <si>
    <t>Proxy</t>
  </si>
  <si>
    <t>Proxy host customer benefits</t>
  </si>
  <si>
    <t>Percent estimate for host customer non-energy  net benefits</t>
  </si>
  <si>
    <t>Sub Total Non Utility and Host Customer Impacts</t>
  </si>
  <si>
    <t>Total Net Benefits</t>
  </si>
  <si>
    <t>PV of Costs</t>
  </si>
  <si>
    <t>PV of Benefits</t>
  </si>
  <si>
    <t>Benefit Cost Ratio</t>
  </si>
  <si>
    <t>HP - Fossil Gas</t>
  </si>
  <si>
    <t>HP - Electric Resistance</t>
  </si>
  <si>
    <t>Case</t>
  </si>
  <si>
    <t>Benefit</t>
  </si>
  <si>
    <t>Cost</t>
  </si>
  <si>
    <t>Net</t>
  </si>
  <si>
    <t>Benefit/ Cost</t>
  </si>
  <si>
    <t>FO</t>
  </si>
  <si>
    <t>NG</t>
  </si>
  <si>
    <t>Elec Resist</t>
  </si>
  <si>
    <t>Gen. Capacity</t>
  </si>
  <si>
    <t>Trans. Capacity</t>
  </si>
  <si>
    <t>Dist. Capacity</t>
  </si>
  <si>
    <t>Incentives</t>
  </si>
  <si>
    <t>Prog. Admin</t>
  </si>
  <si>
    <t>GHGs</t>
  </si>
  <si>
    <t>Other Air Pol</t>
  </si>
  <si>
    <t>Host Customer Costs</t>
  </si>
  <si>
    <t>Host Customer NEBs</t>
  </si>
  <si>
    <t>BCA Example PV and PV+Battery Storage - Host Customer Inputs and Assumptions</t>
  </si>
  <si>
    <t>BCA Example PV and PV+ Battery Storage - Outputs with Host Customer Impacts included</t>
  </si>
  <si>
    <t>BCA Screening Discount Rate</t>
  </si>
  <si>
    <t>Photovoltaic System</t>
  </si>
  <si>
    <t>Installed Capacity</t>
  </si>
  <si>
    <t>kW</t>
  </si>
  <si>
    <t>Case 1:</t>
  </si>
  <si>
    <r>
      <rPr>
        <b/>
        <sz val="11"/>
        <color theme="1"/>
        <rFont val="Aptos Narrow"/>
        <family val="2"/>
        <scheme val="minor"/>
      </rPr>
      <t>Case 1:</t>
    </r>
    <r>
      <rPr>
        <sz val="11"/>
        <color theme="1"/>
        <rFont val="Aptos Narrow"/>
        <family val="2"/>
        <scheme val="minor"/>
      </rPr>
      <t xml:space="preserve"> PV - Not IQ/Target</t>
    </r>
  </si>
  <si>
    <t>kWh/kW/yr</t>
  </si>
  <si>
    <t>Present Value</t>
  </si>
  <si>
    <t>Energy AC</t>
  </si>
  <si>
    <t>Avg. Annual Output</t>
  </si>
  <si>
    <t xml:space="preserve">kWh - Annual degradation of ~2% reflected in annual energy value calcs. </t>
  </si>
  <si>
    <t>Graphic see Row 68</t>
  </si>
  <si>
    <t>Capacity AC</t>
  </si>
  <si>
    <t>Peak Coincidence</t>
  </si>
  <si>
    <t>Program Costs</t>
  </si>
  <si>
    <t>KW peak</t>
  </si>
  <si>
    <t>GHG</t>
  </si>
  <si>
    <t xml:space="preserve">lifetime </t>
  </si>
  <si>
    <t>years</t>
  </si>
  <si>
    <t>Other Air Poll.</t>
  </si>
  <si>
    <t>Annual Energy Avoided Cost Benefit</t>
  </si>
  <si>
    <t xml:space="preserve">/MWh 2026 actual AVC energy levelized </t>
  </si>
  <si>
    <t>Host Cust Costs</t>
  </si>
  <si>
    <t>Capacity Avoided Cost Benefit</t>
  </si>
  <si>
    <t>/kw-yr, levelized AVC capacity</t>
  </si>
  <si>
    <t>Host Cust Ben</t>
  </si>
  <si>
    <t>T&amp;D Constrained Benefit</t>
  </si>
  <si>
    <t>/kw-yr, 2024 constrained system</t>
  </si>
  <si>
    <t>Total Net</t>
  </si>
  <si>
    <t>Utility Costs</t>
  </si>
  <si>
    <t>Incentive</t>
  </si>
  <si>
    <t>Program Admin</t>
  </si>
  <si>
    <t>Input assumption 30% program admin costs</t>
  </si>
  <si>
    <t>Case 2:</t>
  </si>
  <si>
    <r>
      <rPr>
        <b/>
        <sz val="11"/>
        <color theme="1"/>
        <rFont val="Aptos Narrow"/>
        <family val="2"/>
        <scheme val="minor"/>
      </rPr>
      <t>Case 2</t>
    </r>
    <r>
      <rPr>
        <sz val="11"/>
        <color theme="1"/>
        <rFont val="Aptos Narrow"/>
        <family val="2"/>
        <scheme val="minor"/>
      </rPr>
      <t>: PV IQ/Target</t>
    </r>
  </si>
  <si>
    <t>Battery System</t>
  </si>
  <si>
    <t>Continuous Rate KW</t>
  </si>
  <si>
    <t>KWh capacity</t>
  </si>
  <si>
    <t>RT efficiency</t>
  </si>
  <si>
    <t>Share Dispatchable</t>
  </si>
  <si>
    <t>Reduction in Energy Avoided Cost Benefit</t>
  </si>
  <si>
    <t>Battery Adjusted solar output</t>
  </si>
  <si>
    <t>Annual for 25 year PV life, adjusted for 2% degradation</t>
  </si>
  <si>
    <t>Capacity Avoided Benefit</t>
  </si>
  <si>
    <t>Annual for 10 year battery life with 2% annual system degradation</t>
  </si>
  <si>
    <t>Annual for 10 year battery life w 2% annual degradation</t>
  </si>
  <si>
    <t xml:space="preserve">Case 3: </t>
  </si>
  <si>
    <r>
      <rPr>
        <b/>
        <sz val="11"/>
        <color theme="1"/>
        <rFont val="Aptos Narrow"/>
        <family val="2"/>
        <scheme val="minor"/>
      </rPr>
      <t>Case 3</t>
    </r>
    <r>
      <rPr>
        <sz val="11"/>
        <color theme="1"/>
        <rFont val="Aptos Narrow"/>
        <family val="2"/>
        <scheme val="minor"/>
      </rPr>
      <t>: PV+Batt -Not IQ/Target</t>
    </r>
  </si>
  <si>
    <t>Assume NA but program could design to offset fossil backup gen.</t>
  </si>
  <si>
    <t>PV standalone Annual MTCO2e</t>
  </si>
  <si>
    <t>PV+ Batt Annual MTCO2e</t>
  </si>
  <si>
    <t>Electric emissions intensity</t>
  </si>
  <si>
    <t>Average MT/MWh value over 2026 to 2040 from 2023-2025-DICE calculations</t>
  </si>
  <si>
    <t>SCC per tonne</t>
  </si>
  <si>
    <t>Average SCC 2026-2050</t>
  </si>
  <si>
    <t>Annual Value PV</t>
  </si>
  <si>
    <t>Degrades by 2% to account for PV system output reductions</t>
  </si>
  <si>
    <t>Annual Value PV+ Batt</t>
  </si>
  <si>
    <t xml:space="preserve">Case 4: </t>
  </si>
  <si>
    <r>
      <rPr>
        <b/>
        <sz val="11"/>
        <color theme="1"/>
        <rFont val="Aptos Narrow"/>
        <family val="2"/>
        <scheme val="minor"/>
      </rPr>
      <t>Case 4:</t>
    </r>
    <r>
      <rPr>
        <sz val="11"/>
        <color theme="1"/>
        <rFont val="Aptos Narrow"/>
        <family val="2"/>
        <scheme val="minor"/>
      </rPr>
      <t xml:space="preserve"> PV+Batt IQ Target</t>
    </r>
  </si>
  <si>
    <t>Host Customer Impacts</t>
  </si>
  <si>
    <t>PV</t>
  </si>
  <si>
    <t>PV Host Customer Cost Gross</t>
  </si>
  <si>
    <t>/Watt</t>
  </si>
  <si>
    <t>Program Incentive</t>
  </si>
  <si>
    <t>Tax Incentive</t>
  </si>
  <si>
    <t>Interconnection Fee</t>
  </si>
  <si>
    <t>Net Host Customer Cost</t>
  </si>
  <si>
    <t>Battery</t>
  </si>
  <si>
    <t>Battery Host Customer Cost Gross</t>
  </si>
  <si>
    <t>Tesla Powerwall 3</t>
  </si>
  <si>
    <t xml:space="preserve">Total </t>
  </si>
  <si>
    <t>Annual PV Output</t>
  </si>
  <si>
    <t>PV+Battery Annual</t>
  </si>
  <si>
    <t>NEB</t>
  </si>
  <si>
    <t>Solar Only</t>
  </si>
  <si>
    <t xml:space="preserve">Proxy Income Qualified </t>
  </si>
  <si>
    <t>As % of avoided cost net benefits</t>
  </si>
  <si>
    <t>Proxy Non IQ/Target</t>
  </si>
  <si>
    <t>Solar + storage</t>
  </si>
  <si>
    <t>Example Income Qualified Weatherization and Heat Pump Combined, replacing Fuel Oil, 2026</t>
  </si>
  <si>
    <t xml:space="preserve"> 2% Social Discount Rate, Using 2023-2025 Avoided Costs:</t>
  </si>
  <si>
    <t>HP + Wx- Fuel Oil (Income Qualified)</t>
  </si>
  <si>
    <t>Avoided Heating Oil</t>
  </si>
  <si>
    <t>US EPA Benefit per kWh esitmate for New England Region</t>
  </si>
  <si>
    <t>Host Customer</t>
  </si>
  <si>
    <t>Direct Costs</t>
  </si>
  <si>
    <t>Host Customer Direct Costs</t>
  </si>
  <si>
    <t>Assume $0 direct costs for IQ/target customer</t>
  </si>
  <si>
    <t>Proxy Costs</t>
  </si>
  <si>
    <t>Host Customer Proxy Net Benefit</t>
  </si>
  <si>
    <t>Based on combined Wx HP for IQ.</t>
  </si>
  <si>
    <t>Sub Total Other Fuel GHG Impacts</t>
  </si>
  <si>
    <t>Host measure costs</t>
  </si>
  <si>
    <t>Residential Cold Climate Heat Pump Replacing Fuel Oil/Fossil Gas/ Propane</t>
  </si>
  <si>
    <t>Annual Fuel Oil Heating Consumption</t>
  </si>
  <si>
    <t>MMBtu</t>
  </si>
  <si>
    <t>GJ</t>
  </si>
  <si>
    <t>Boiler AFUE</t>
  </si>
  <si>
    <t>138,500 Btus/Gallon</t>
  </si>
  <si>
    <t>Gallons</t>
  </si>
  <si>
    <t>Li</t>
  </si>
  <si>
    <t>CO2/gallon fuel oil</t>
  </si>
  <si>
    <t>lbs/gallon</t>
  </si>
  <si>
    <t>https://www.eia.gov/environment/emissions/co2_vol_mass.php</t>
  </si>
  <si>
    <t>Annual Fuel Oil Heating Emissions</t>
  </si>
  <si>
    <t>metric tonnes</t>
  </si>
  <si>
    <t>Annual Natural Gas Heating Load</t>
  </si>
  <si>
    <t>Annual Propane Heating Consumption</t>
  </si>
  <si>
    <t>Electric Resistance Heating Consumption</t>
  </si>
  <si>
    <t>Annual Wood Heating Consumption</t>
  </si>
  <si>
    <t>litres/gal.</t>
  </si>
  <si>
    <t>GJ/MMBTU</t>
  </si>
  <si>
    <t>Annual Natural Gas Heating Consumption</t>
  </si>
  <si>
    <t>1 MMBtu is approximately equal to 1.05587 GJ</t>
  </si>
  <si>
    <t>www.unitjuggler.com/convert-energy-from-GJ-to-MMBtu.html</t>
  </si>
  <si>
    <t>GJ/ft3</t>
  </si>
  <si>
    <t>Gal</t>
  </si>
  <si>
    <t>1 gallon of propane = 91,452 Btu</t>
  </si>
  <si>
    <t>1 gallon of propane = 0.091452 MMBtu</t>
  </si>
  <si>
    <t>https://www.eia.gov/energyexplained/units-and-calculators/</t>
  </si>
  <si>
    <t>L</t>
  </si>
  <si>
    <t>1 gal (US) = 3.785411784 L</t>
  </si>
  <si>
    <t>ft3</t>
  </si>
  <si>
    <t>kWh</t>
  </si>
  <si>
    <t>1 kilowatthour = 3,412 Btu</t>
  </si>
  <si>
    <t>https://www.eia.gov/energyexplained/units-and-calculators/energy-conversion-calculators.php</t>
  </si>
  <si>
    <t>kg CO2/ GJ natural gas</t>
  </si>
  <si>
    <t>Annual Natural Gas Emissions</t>
  </si>
  <si>
    <t>kg CO2</t>
  </si>
  <si>
    <t>kg CO2/ gal propane</t>
  </si>
  <si>
    <t>kg CO2/ L propane</t>
  </si>
  <si>
    <t>kg CO2/  MMBTU propane</t>
  </si>
  <si>
    <t>Annual Propane Emissions</t>
  </si>
  <si>
    <t>Building Annual Heating Load</t>
  </si>
  <si>
    <t>kWh annual heating load</t>
  </si>
  <si>
    <t>Heat Pump COP Average</t>
  </si>
  <si>
    <t xml:space="preserve">Annual Electric Heat Pump Consumption </t>
  </si>
  <si>
    <t>Number of Units</t>
  </si>
  <si>
    <t>Measure liftime</t>
  </si>
  <si>
    <t>Measure Cost</t>
  </si>
  <si>
    <t>dollars</t>
  </si>
  <si>
    <t>Market Rate Incentive</t>
  </si>
  <si>
    <t>Market Rate incentive $</t>
  </si>
  <si>
    <t>Proxy Non Energy Benefit for Market Rate</t>
  </si>
  <si>
    <t>Lifetime Proxy Non Energy Host customer Benefit</t>
  </si>
  <si>
    <t>Heating Oil</t>
  </si>
  <si>
    <t>per litre Nov. 2023</t>
  </si>
  <si>
    <t>Efficiency NS calculator</t>
  </si>
  <si>
    <t xml:space="preserve">dollars/ annual </t>
  </si>
  <si>
    <t>https://www.efficiencyns.ca/tools-resources/guide/heating-comparisons/</t>
  </si>
  <si>
    <t>litres</t>
  </si>
  <si>
    <t>gallons</t>
  </si>
  <si>
    <t>NRCAN Recent Price</t>
  </si>
  <si>
    <t>per litre</t>
  </si>
  <si>
    <t>Average for Nova Scotia range from $1.60 to $1.70</t>
  </si>
  <si>
    <t>https://www2.nrcan.gc.ca/eneene/sources/pripri/prices_bycity_e.cfm?PriceYear=0&amp;productID=7&amp;locationID=39,40,41,42,60,71,75#pricesTable</t>
  </si>
  <si>
    <t>Carbon Price Schedule</t>
  </si>
  <si>
    <t xml:space="preserve">Year </t>
  </si>
  <si>
    <t>metric tonne</t>
  </si>
  <si>
    <t>https://www.canada.ca/en/environment-climate-change/services/climate-change/pricing-pollution-how-it-will-work/carbon-pollution-pricing-federal-benchmark-information/federal-benchmark-2023-2030.html</t>
  </si>
  <si>
    <t>Emissions per litre</t>
  </si>
  <si>
    <t>kg/gallon</t>
  </si>
  <si>
    <t>kg/litre</t>
  </si>
  <si>
    <t>Heating Oil Average Annual Escalation</t>
  </si>
  <si>
    <t>Annual Energy Outlook (USEIA ranges from -0.8% to 1.0% average annual) https://www.eia.gov/outlooks/aeo/tables_side_xls.php</t>
  </si>
  <si>
    <t>Per Unit Incentive</t>
  </si>
  <si>
    <t>Per Unit Program Admin</t>
  </si>
  <si>
    <t xml:space="preserve">Other Fuel - Heating Oil Impact </t>
  </si>
  <si>
    <t>Utility System Energy and Capacity Impacts</t>
  </si>
  <si>
    <t>Net Impact</t>
  </si>
  <si>
    <t>Carbon Price Esc.</t>
  </si>
  <si>
    <t>Plan Year</t>
  </si>
  <si>
    <t>Carbon price per ltr</t>
  </si>
  <si>
    <t>Escalated price including carbon price</t>
  </si>
  <si>
    <t>Fuel Price minus carbon price</t>
  </si>
  <si>
    <t>Annual Litres</t>
  </si>
  <si>
    <t>2% Real Discount Rate</t>
  </si>
  <si>
    <t>Value of Saved Fuel Oil</t>
  </si>
  <si>
    <t>Electric Avoided Costs $/MWh</t>
  </si>
  <si>
    <t>Increased Electricity MWh</t>
  </si>
  <si>
    <t>Increased Electric System Energy Costs</t>
  </si>
  <si>
    <t>Increased Peak kW</t>
  </si>
  <si>
    <t>Capacity $/kW-yr.</t>
  </si>
  <si>
    <t>Avoided T&amp;D</t>
  </si>
  <si>
    <t>Increased Electric System Capacity Costs</t>
  </si>
  <si>
    <t>Net (Fuel Oil Benefit minus Electric System Costs</t>
  </si>
  <si>
    <t>Avoided Capacity</t>
  </si>
  <si>
    <t>Eone Incentives</t>
  </si>
  <si>
    <t>Eone Program Admin</t>
  </si>
  <si>
    <t>Electricity prices from Matt from EOne</t>
  </si>
  <si>
    <t>E1 Compliance Filing 2023-2025</t>
  </si>
  <si>
    <t>Starting price</t>
  </si>
  <si>
    <t>per GJ</t>
  </si>
  <si>
    <t>Commodity price of natural gas</t>
  </si>
  <si>
    <t>https://www.cer-rec.gc.ca/en/data-analysis/energy-commodities/natural-gas/report/canadian-residential-natural-gasbill/nova-scotia.html</t>
  </si>
  <si>
    <t>Avoided emissions per unit</t>
  </si>
  <si>
    <t>kg CO2/MMBtu</t>
  </si>
  <si>
    <t>kg CO2/GJ</t>
  </si>
  <si>
    <t>Average of -0.7% and 0% (low and high of AEO scenarios)</t>
  </si>
  <si>
    <t>https://www.eia.gov/outlooks/aeo/tables_side_xls.php</t>
  </si>
  <si>
    <t>Other Fuel - Pipeline Gas Impact</t>
  </si>
  <si>
    <t>Carbon Price Escalation</t>
  </si>
  <si>
    <t>Carbon price per GJ</t>
  </si>
  <si>
    <t>Annual Avoided Natural Gas (GJ)</t>
  </si>
  <si>
    <t>Value of Saved Natural Gas</t>
  </si>
  <si>
    <t>Increased Electric System Costs</t>
  </si>
  <si>
    <t>Net (Gas Benefit minus Electric System Costs)</t>
  </si>
  <si>
    <t>$0.9-$1.15/Litre</t>
  </si>
  <si>
    <t>kg CO2/gal</t>
  </si>
  <si>
    <t>kg CO2/L</t>
  </si>
  <si>
    <t>Average of -1.1% and 1.8% (low and high of AEO scenarios)</t>
  </si>
  <si>
    <t>Other Fuel - Propane Impact</t>
  </si>
  <si>
    <t>Carbon price per Litre</t>
  </si>
  <si>
    <t>Annual Avoided Propane (L)</t>
  </si>
  <si>
    <t>Value of Saved Propane</t>
  </si>
  <si>
    <t>Carbon Price Per Litre</t>
  </si>
  <si>
    <t>Heat Pump COP</t>
  </si>
  <si>
    <t>Heat Pump COP (Winter)</t>
  </si>
  <si>
    <t>Electric Impacts</t>
  </si>
  <si>
    <t>Annual Electricity Consumption MWh</t>
  </si>
  <si>
    <t>Electric Resistance Annual Electricity Consumption MWh</t>
  </si>
  <si>
    <t>Annual Electricity Savings MWh</t>
  </si>
  <si>
    <t>Decreased Electric System Energy Costs</t>
  </si>
  <si>
    <t>Peak kW Savings</t>
  </si>
  <si>
    <t>Decreased Electric System Capacity Costs</t>
  </si>
  <si>
    <t>Heating Fuel Oil</t>
  </si>
  <si>
    <t>Average Annual Escalation</t>
  </si>
  <si>
    <t>Natural Gas</t>
  </si>
  <si>
    <t>$22.14/GJ</t>
  </si>
  <si>
    <t>In effect April 11, 2023</t>
  </si>
  <si>
    <t>$21.09/GJ</t>
  </si>
  <si>
    <t>March 2024 rate</t>
  </si>
  <si>
    <t>https://eastwardenergy.com/wp-content/uploads/2024/02/March-Rate-Tables-2024-FINAL.pdf</t>
  </si>
  <si>
    <t>Average annual escalation</t>
  </si>
  <si>
    <t>Avoided emissions per unit (kg CO2/MMBtu)</t>
  </si>
  <si>
    <t>Avoided emissions per unit (kg CO2/GJ)</t>
  </si>
  <si>
    <t>Propane</t>
  </si>
  <si>
    <t xml:space="preserve">	$0.9-$1.15/Litre</t>
  </si>
  <si>
    <t>Avoided emissions per unit (kg CO2/gal)</t>
  </si>
  <si>
    <t>Avoided emissions per unit (kg CO2/L)</t>
  </si>
  <si>
    <t>Electric resistance heat</t>
  </si>
  <si>
    <t>How are we calculating this?</t>
  </si>
  <si>
    <t>From the Carbon Emissions (DICE) method from EOne Matt?</t>
  </si>
  <si>
    <t>Wood</t>
  </si>
  <si>
    <t>Wood starting price</t>
  </si>
  <si>
    <t>$284.50/cord</t>
  </si>
  <si>
    <t>Pellets starting price</t>
  </si>
  <si>
    <t>$375.50/ton</t>
  </si>
  <si>
    <t>Would we expect the price of wood to go up for any reason other than inflation?</t>
  </si>
  <si>
    <t>Volume (?)</t>
  </si>
  <si>
    <t>https://www.epa.gov/sites/default/files/2020-04/documents/ghg-emission-factors-hub.pdf</t>
  </si>
  <si>
    <t>Fuel Oil</t>
  </si>
  <si>
    <t>Year</t>
  </si>
  <si>
    <t>Annual Avoided Fuel Oil Gallons</t>
  </si>
  <si>
    <t>Annual Avoided Fuel Oil Emissions Metric Tonnes</t>
  </si>
  <si>
    <t>Annual Electric Consumption Increase (MWh)</t>
  </si>
  <si>
    <t>Annual Increased Electric Emissions Metric Tonnes</t>
  </si>
  <si>
    <t>Net Emissions Reduction</t>
  </si>
  <si>
    <t>SCCO2 $2021 CDN</t>
  </si>
  <si>
    <t>Carbon Price</t>
  </si>
  <si>
    <t>Carbon Compliance Cost not Embedded in Avoided Costs</t>
  </si>
  <si>
    <t>Net Social Minus Non-Embedded Compliance</t>
  </si>
  <si>
    <t>Discounted SCC Value</t>
  </si>
  <si>
    <t>Annual Avoided Nat Gas (GJ)</t>
  </si>
  <si>
    <t>Annual Avoided Nat Gas Emissions Metric Tonnes</t>
  </si>
  <si>
    <t>Carbon Price/Compliance</t>
  </si>
  <si>
    <t>Annual Avoided Propane Emissions Metric Tonnes</t>
  </si>
  <si>
    <t>Electric Resistance</t>
  </si>
  <si>
    <t>Annual Avoided Electricity (MWh)</t>
  </si>
  <si>
    <t>Annual Avoided Electricity Emissions Metric Tonnes</t>
  </si>
  <si>
    <t>N/A</t>
  </si>
  <si>
    <t>Total</t>
  </si>
  <si>
    <t xml:space="preserve">Source: </t>
  </si>
  <si>
    <t>https://www.canada.ca/en/environment-climate-change/services/climate-change/science-research-data/social-cost-ghg.html#toc13</t>
  </si>
  <si>
    <t>Social Cost of GHGs using a 2% social discount rate.</t>
  </si>
  <si>
    <r>
      <t>SCC/SC-CO</t>
    </r>
    <r>
      <rPr>
        <b/>
        <sz val="9"/>
        <color rgb="FF333333"/>
        <rFont val="Arial"/>
        <family val="2"/>
      </rPr>
      <t>2</t>
    </r>
  </si>
  <si>
    <r>
      <t>SCM/SC-CH</t>
    </r>
    <r>
      <rPr>
        <b/>
        <sz val="9"/>
        <color rgb="FF333333"/>
        <rFont val="Arial"/>
        <family val="2"/>
      </rPr>
      <t>4</t>
    </r>
  </si>
  <si>
    <r>
      <t>SCN/SC-N</t>
    </r>
    <r>
      <rPr>
        <b/>
        <sz val="9"/>
        <color rgb="FF333333"/>
        <rFont val="Arial"/>
        <family val="2"/>
      </rPr>
      <t>2</t>
    </r>
    <r>
      <rPr>
        <b/>
        <sz val="12"/>
        <color rgb="FF333333"/>
        <rFont val="Arial"/>
        <family val="2"/>
      </rPr>
      <t>O</t>
    </r>
  </si>
  <si>
    <t>New England BPK (2019 US cents per kWh)</t>
  </si>
  <si>
    <t>2019 CDN</t>
  </si>
  <si>
    <t>2021 CDN cents per kWh</t>
  </si>
  <si>
    <t>Low Estimate</t>
  </si>
  <si>
    <t>High Estimate</t>
  </si>
  <si>
    <t>Mid Point</t>
  </si>
  <si>
    <t>Fuel Oil and Gas Increased Electric Consumption</t>
  </si>
  <si>
    <t>Health Impact of Increased Generation</t>
  </si>
  <si>
    <t>Discounted Other Air Pollutant Costs</t>
  </si>
  <si>
    <t>Electric Resistance /Decreased Electric Generation</t>
  </si>
  <si>
    <t>Annual Electric Consumption Decrease (MWh)</t>
  </si>
  <si>
    <t>Discounted Avoided Other Air Pollutant Value</t>
  </si>
  <si>
    <t>Emissions</t>
  </si>
  <si>
    <t>GWh</t>
  </si>
  <si>
    <t>Calculated Intensity Metric tonnes/MWh</t>
  </si>
  <si>
    <t>DICE Method from 2023-2025 Plan</t>
  </si>
  <si>
    <t xml:space="preserve">Instead of estimate based on the IRP scenario use the prescribed OBPS if available. </t>
  </si>
  <si>
    <t xml:space="preserve">Note Table 7 from the 2023-2025 plan application has higher carbon savings intensities .448 in 2026, and .221 in 2040.  With updated IRP the intensities may be lower as in table to right. </t>
  </si>
  <si>
    <t>Using Col. H which represents lower electric sector emissions would increase the net reductions for beneficial electrification measures and therefore increase the GHG benefit.</t>
  </si>
  <si>
    <t>Direct Estimates</t>
  </si>
  <si>
    <t>+/-</t>
  </si>
  <si>
    <t>Host Customer Impact - Direct Estimates</t>
  </si>
  <si>
    <t>EE</t>
  </si>
  <si>
    <t>DR</t>
  </si>
  <si>
    <t>DG</t>
  </si>
  <si>
    <t>DS</t>
  </si>
  <si>
    <t>BE</t>
  </si>
  <si>
    <t>EV</t>
  </si>
  <si>
    <t>Notes</t>
  </si>
  <si>
    <t>-</t>
  </si>
  <si>
    <t>DER Measure Costs</t>
  </si>
  <si>
    <t>ü</t>
  </si>
  <si>
    <t>not always for DR, but possible (e.g., t-stat costs not paid entirely by program)</t>
  </si>
  <si>
    <t>Interconnection Fees</t>
  </si>
  <si>
    <t>Can be per site or based on capacity. Available from NSP.</t>
  </si>
  <si>
    <t>+</t>
  </si>
  <si>
    <t>Tax Incentives</t>
  </si>
  <si>
    <t>Due to uncertainty over continued availability EOne proposes to not include tax or other incentives as reductions to host customer costs.</t>
  </si>
  <si>
    <t>Water cost impacts</t>
  </si>
  <si>
    <t>some efficiency measures also reduce water consumption</t>
  </si>
  <si>
    <t>Host Customer Energy Impacts Proxy</t>
  </si>
  <si>
    <t xml:space="preserve">Transaction Costs </t>
  </si>
  <si>
    <t>time required to enable DER install; only for some EE measures (e.g., Wx)</t>
  </si>
  <si>
    <t>EE, DG, BE, EV reduce exposure to fuel price volatility</t>
  </si>
  <si>
    <t>Reliability</t>
  </si>
  <si>
    <t>Either captured under utiity system reliability or host customer resilience</t>
  </si>
  <si>
    <t>EE (weatherization) enables buildings to withstand outages better; DG, DS, some EVs can supply power during outages</t>
  </si>
  <si>
    <t>Host Customer Non-Energy Impacts Proxy</t>
  </si>
  <si>
    <t>Asset Value</t>
  </si>
  <si>
    <t>New equipment, latest technologies improve asset value</t>
  </si>
  <si>
    <t>O&amp;M costs</t>
  </si>
  <si>
    <t>DG inverter replacement after 10 years</t>
  </si>
  <si>
    <t>Productivity</t>
  </si>
  <si>
    <t>many EE investments in businesses improve productivity</t>
  </si>
  <si>
    <t>Economic well-being</t>
  </si>
  <si>
    <t>energy bill savings reducing stress of disconnections, foreclosures, etc.</t>
  </si>
  <si>
    <t>Comfort</t>
  </si>
  <si>
    <t>Most positive for shell measures, DR may have small negative impacts</t>
  </si>
  <si>
    <t>Amenity</t>
  </si>
  <si>
    <t>EE 2nd frig removals; DR changing home temps, biz DR shut-downs; EV "range anxiety" (cost) + avoided trips to gas stations (benefit)</t>
  </si>
  <si>
    <t>Health &amp; Safety</t>
  </si>
  <si>
    <t>e.g, improvements to indoor air quality</t>
  </si>
  <si>
    <t>Empowerment</t>
  </si>
  <si>
    <t>satisfaction from ability to control energy consumption and bills</t>
  </si>
  <si>
    <t>Pride</t>
  </si>
  <si>
    <t>satisfaction from contribution to addressing environmental concerns</t>
  </si>
  <si>
    <t>Recommended Host Customer Impact Proxy Benefits</t>
  </si>
  <si>
    <t>Host Customer Impact - by Measure Category and Customer Segment</t>
  </si>
  <si>
    <t>Non-Income Qualified/Target Market Segment</t>
  </si>
  <si>
    <t>Income Qualified Target Market Segment</t>
  </si>
  <si>
    <t>Building Shell Measures (Air Sealing, Insulation)</t>
  </si>
  <si>
    <t>Has the highest level of host customer impacts on indoor air quality, health and safety, comfort, O&amp;M.</t>
  </si>
  <si>
    <t>BNI Custom Measures</t>
  </si>
  <si>
    <t>Custom projects often targeted to enhance production processes and working environment</t>
  </si>
  <si>
    <t>Other Equipment Energy Efficiency</t>
  </si>
  <si>
    <t>Reduced OM, Economic Well Being, Amenity, Pride, Empowerment</t>
  </si>
  <si>
    <t>Demand Response</t>
  </si>
  <si>
    <t>Demand Response primarily reducing peak, utility system impact, and generally low host customer costs - could have small negative NEI on comfort ammenity</t>
  </si>
  <si>
    <t>Distributed Generation (On Site Solar)</t>
  </si>
  <si>
    <t>Reduced risk, economic well being, asset value, pride empowerment</t>
  </si>
  <si>
    <t>Distributed Storage (On Site Battery)</t>
  </si>
  <si>
    <t>Reduced risk, economic well being, asset value, pride empowerment, resilience, health and safety</t>
  </si>
  <si>
    <t>Solar + Storage</t>
  </si>
  <si>
    <t>Combined DG and DS have increased resilience and health and safety benefit.</t>
  </si>
  <si>
    <t>Beneficial Electrification</t>
  </si>
  <si>
    <t>Reduced risk, asset value, comfort, amenity, improved indoor air quality, pride empowerment</t>
  </si>
  <si>
    <t>Electric Vehicle (vehicles, managed charging, VtG)</t>
  </si>
  <si>
    <t>0 for now, but research on reduced risk, asset value, OM costs, amentiy, pride, empowerment, potential VtG reslience.</t>
  </si>
  <si>
    <t>Jurisdictional Summary Table of Non-Energy Impacts</t>
  </si>
  <si>
    <t>Jurisdiction</t>
  </si>
  <si>
    <t>Host Customer NEIs?</t>
  </si>
  <si>
    <t>Measure or Program-Specific or Generic?</t>
  </si>
  <si>
    <t>Separate Value for Income Qualified?</t>
  </si>
  <si>
    <t>Applied to non- EE DERs?</t>
  </si>
  <si>
    <t>Evaluations</t>
  </si>
  <si>
    <t>Reference</t>
  </si>
  <si>
    <t>Nova Scotia</t>
  </si>
  <si>
    <t>No - Proposed but not approved in 2018</t>
  </si>
  <si>
    <t>Measure</t>
  </si>
  <si>
    <t>Not included in 2018 but recommended for future consideration</t>
  </si>
  <si>
    <t>Prior examination only for EE</t>
  </si>
  <si>
    <t>VEIC NEBs 2018 NEBs Report</t>
  </si>
  <si>
    <t>Measure-Level Non-Energy Benefits Study, Prepared for Efficiency One by VEIC, June 2018.</t>
  </si>
  <si>
    <t>Connecticut</t>
  </si>
  <si>
    <t>Yes</t>
  </si>
  <si>
    <t>Just for EEs</t>
  </si>
  <si>
    <t>Several NMR Group studies- “Cross-cutting NEI Study"</t>
  </si>
  <si>
    <t>Connecticut’s 2024 Program Savings Document</t>
  </si>
  <si>
    <t>Colorado</t>
  </si>
  <si>
    <t>Generic</t>
  </si>
  <si>
    <t>Includes EE and BE</t>
  </si>
  <si>
    <t xml:space="preserve">Cost-Benefit Analysis of
Non-Wires Alternatives Public Service Company of Colorado May 1, 2022 </t>
  </si>
  <si>
    <t>PUC of Colorado. PROCEEDING NO. 22A-0309EG</t>
  </si>
  <si>
    <t>Maryland</t>
  </si>
  <si>
    <t>Measure/Program</t>
  </si>
  <si>
    <t>Currently only EE &amp; partially for EVs, but report recommending inclusion for All DERs just filed (not yet approved)</t>
  </si>
  <si>
    <t>EmPOWER BCA Cost Benefit Summary 12.15.2023 workbook</t>
  </si>
  <si>
    <t>Massachusetts</t>
  </si>
  <si>
    <t>EE and electrification in past, but program actvities to other DERs expanding</t>
  </si>
  <si>
    <t>Numerous evaluations for EE NEI estimations</t>
  </si>
  <si>
    <t>https://ma-eeac.org/plans-updates/</t>
  </si>
  <si>
    <t>Minnesota</t>
  </si>
  <si>
    <t>No - both participant costs and NEIs excluded from MN test. (both included in secondary societal test)</t>
  </si>
  <si>
    <t>Not included</t>
  </si>
  <si>
    <t>“Updating the Energy Efficiency Cost-Effectiveness
Framework in Minnesota” (Synapse Report)</t>
  </si>
  <si>
    <t>https://lpdd.org/resources/minnesotas-efficiency-cost-effectiveness-test/   See: In the Matter of 2024-2026 CIP Issue Date: March 31, 2023 Cost-Effectiveness Methodologies for Electric and Gas Investor-Owned Utilities</t>
  </si>
  <si>
    <t>New York</t>
  </si>
  <si>
    <t>NYSEG and RG&amp;E Benefit Cost Analysis (BCA) Handbook June 30, 2023 - is this what we were looking for? Doesn't include info about how NEIs are considered in NY</t>
  </si>
  <si>
    <t>From David - The Climate Leadership and Community Protection Act includes NEIs</t>
  </si>
  <si>
    <t>Ontario Electric</t>
  </si>
  <si>
    <t>Different NEI values for each of 7 sectors:  consumer, low income, First Nations, commercial, institutional, industrial, agriculture</t>
  </si>
  <si>
    <t>Non-Energy Benefits Study:
Phase II Quantified Benefits and Qualitative Insights
July 2021</t>
  </si>
  <si>
    <t>https://www.ieso.ca/en/Sector-Participants/IESO-News/2021/08/Non-Energy-Benefits-Study-Released</t>
  </si>
  <si>
    <t>Ontario Gas</t>
  </si>
  <si>
    <t>Indirectly (lower BCR threshold of 0.7 for low income programs to address higher NEBs)</t>
  </si>
  <si>
    <t>Ontario Energy Board, Natural Gas Demand Side Management Framework, EB-2021-0002 Schedule E, Effective Date January 1, 2023</t>
  </si>
  <si>
    <t>Rhode Island</t>
  </si>
  <si>
    <t>No</t>
  </si>
  <si>
    <t>Rhode Island Technical Reference Manual For Estimating Savings from Energy Efficiency Measures 
2022 Program Year</t>
  </si>
  <si>
    <t>https://ripuc.ri.gov/sites/g/files/xkgbur841/files/eventsactions/docket/1-PY2022-RI-TRM.pdf</t>
  </si>
  <si>
    <t>Vermont</t>
  </si>
  <si>
    <t>David reached out to contact for more information</t>
  </si>
  <si>
    <t>Efficiency Vermont Non-Energy Benefits Home Performance White Paper</t>
  </si>
  <si>
    <t>https://www.efficiencyvermont.com/Media/Default/docs/white-papers/efficiency-vermont-non-energy-benefits-home-performance-white-paper.pdf</t>
  </si>
  <si>
    <t>Post Wx Annual Heat Pump Consumption</t>
  </si>
  <si>
    <t>BPK Discounted value $2021 CDN</t>
  </si>
  <si>
    <t>New England BPK (2019 US)</t>
  </si>
  <si>
    <t>2021 CDN</t>
  </si>
  <si>
    <t>Heat Pump</t>
  </si>
  <si>
    <t>Wx</t>
  </si>
  <si>
    <t>BCA Example Weatherization w/heat pump example</t>
  </si>
  <si>
    <t>Assumptions per Home</t>
  </si>
  <si>
    <t>MMBtu/Year of Fossil Fuel Reduction</t>
  </si>
  <si>
    <t>kWh Consumption w/o Wx</t>
  </si>
  <si>
    <t>Net Reduction in Annual Energy</t>
  </si>
  <si>
    <t>Post Wx Heat pump consumption</t>
  </si>
  <si>
    <t>Lifetime</t>
  </si>
  <si>
    <t>Wx Incentive</t>
  </si>
  <si>
    <t>HP Incentive</t>
  </si>
  <si>
    <t>HP +Wx</t>
  </si>
  <si>
    <t>HP only</t>
  </si>
  <si>
    <t>Wx Only</t>
  </si>
  <si>
    <t>Avoided GHG</t>
  </si>
  <si>
    <t>Host Customer NEI Proxy</t>
  </si>
  <si>
    <t>NPV Energy Total Benefits</t>
  </si>
  <si>
    <t>Levelized NEI</t>
  </si>
  <si>
    <t>Levelized NEI per MMBtu</t>
  </si>
  <si>
    <t>n.a.</t>
  </si>
  <si>
    <t>Levelized NEI per kWh</t>
  </si>
  <si>
    <t>Heat Pump/Electrification + Weatherization - Income Qualified</t>
  </si>
  <si>
    <t>Proxy NEI Value per MMBtu Electrified and per kWh Saved thru Wx</t>
  </si>
  <si>
    <t>Weatherization</t>
  </si>
  <si>
    <t>Measure Cost for HP or NPV of Energy Benefits for Wx</t>
  </si>
  <si>
    <t>NEI Adder %</t>
  </si>
  <si>
    <t>NEI</t>
  </si>
  <si>
    <t>lifetime</t>
  </si>
  <si>
    <t>levelized annual NEI</t>
  </si>
  <si>
    <t>Annual MMBtu Saved w/Electrification</t>
  </si>
  <si>
    <t>Annual kWh Saved w/Weatherization</t>
  </si>
  <si>
    <t>Levelized NEI per Electrified MMBtu</t>
  </si>
  <si>
    <t>Levelized NEI per Weatherization kWh</t>
  </si>
  <si>
    <t>PV and Storage Not Incoe Qualified (Case 3)</t>
  </si>
  <si>
    <t>Proxy NEI Value per kWh (decreased consumption)</t>
  </si>
  <si>
    <t>PV and Storage Not IQ</t>
  </si>
  <si>
    <t>NPV of Energy Benefits</t>
  </si>
  <si>
    <t>avg annual kWh</t>
  </si>
  <si>
    <t>GHG Impacts- societal cost of carbon (electricity)</t>
  </si>
  <si>
    <t>DRAFT RESULTS - expecting updates from NSP ~August 19th</t>
  </si>
  <si>
    <t>No DSM Scenario GHG (ktonnes)</t>
  </si>
  <si>
    <t>DSM Scenario GHG (ktonnes)</t>
  </si>
  <si>
    <t>No DSM and W DSM Delta GHG (ktonnes)</t>
  </si>
  <si>
    <t>SCC $/tonne</t>
  </si>
  <si>
    <t>Embedded cost of carbon in electricity ($/tonne)</t>
  </si>
  <si>
    <t>Net cost of carbon ($/tonne)</t>
  </si>
  <si>
    <t>Avoided societal cost of carbon ($)</t>
  </si>
  <si>
    <t>No DSM Scenario Energy (GWh)</t>
  </si>
  <si>
    <t>DSM Scenario Energy (GWh)</t>
  </si>
  <si>
    <t>No DSM and w DSM Delta Energy (GWh)</t>
  </si>
  <si>
    <t>Annual avoided societal cost of carbon ($/MWh) Col H/K</t>
  </si>
  <si>
    <t>Round 2 - Annual avoided societal cost of carbon ($/kWh)</t>
  </si>
  <si>
    <t>Embedded cost $000</t>
  </si>
  <si>
    <t>Embedded Cost/MWh</t>
  </si>
  <si>
    <t>Avoided Annual Energy AVC Energy Col M $/MWh</t>
  </si>
  <si>
    <t>AVC Energy wo embedded carbon</t>
  </si>
  <si>
    <t>carbon as share of AVC energy</t>
  </si>
  <si>
    <t>Annual avoided SCOC ($/kWh)</t>
  </si>
  <si>
    <t>Sum</t>
  </si>
  <si>
    <t>NPV 2026$</t>
  </si>
  <si>
    <t>Levelized avoided cost</t>
  </si>
  <si>
    <t>($/MWh) 2026-2050</t>
  </si>
  <si>
    <t>Social cost of carbon</t>
  </si>
  <si>
    <t>Annual SC-CO2 values, 2020-2080, C$2021, 2% Near-term Ramsey discount rate</t>
  </si>
  <si>
    <t>Social cost of greenhouse gas emissions - Canada.ca</t>
  </si>
  <si>
    <t>Methodology:</t>
  </si>
  <si>
    <t>Difference in carbon emissions between the DSM Scenario and No DSM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</si>
</sst>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00"/>
    <numFmt numFmtId="167" formatCode="_(* #,##0_);_(* \(#,##0\);_(* &quot;-&quot;??_);_(@_)"/>
    <numFmt numFmtId="168" formatCode="_(&quot;$&quot;* #,##0_);_(&quot;$&quot;* \(#,##0\);_(&quot;$&quot;* &quot;-&quot;??_);_(@_)"/>
    <numFmt numFmtId="169" formatCode="0.0%"/>
    <numFmt numFmtId="170" formatCode="&quot;$&quot;#,##0.000_);\(&quot;$&quot;#,##0.000\)"/>
    <numFmt numFmtId="171" formatCode="&quot;$&quot;#,##0.000_);[Red]\(&quot;$&quot;#,##0.000\)"/>
    <numFmt numFmtId="172" formatCode="&quot;$&quot;#,##0.0000_);[Red]\(&quot;$&quot;#,##0.0000\)"/>
    <numFmt numFmtId="173" formatCode="_([$€-2]* #,##0.00_);_([$€-2]* \(#,##0.00\);_([$€-2]* &quot;-&quot;??_)"/>
    <numFmt numFmtId="174" formatCode="_-* #,##0_-;\-* #,##0_-;_-* &quot;-&quot;??_-;_-@_-"/>
    <numFmt numFmtId="175" formatCode="_-* #,##0.000_-;\-* #,##0.000_-;_-* &quot;-&quot;??_-;_-@_-"/>
  </numFmts>
  <fonts count="28">
    <font>
      <sz val="11"/>
      <color theme="1"/>
      <name val="Aptos Narrow"/>
      <family val="2"/>
      <scheme val="minor"/>
    </font>
    <font>
      <sz val="11"/>
      <color theme="1"/>
      <name val="Aptos Narrow"/>
      <family val="2"/>
      <scheme val="minor"/>
    </font>
    <font>
      <b/>
      <sz val="11"/>
      <color theme="1"/>
      <name val="Aptos Narrow"/>
      <family val="2"/>
      <scheme val="minor"/>
    </font>
    <font>
      <b/>
      <sz val="12"/>
      <color rgb="FF333333"/>
      <name val="Arial"/>
      <family val="2"/>
    </font>
    <font>
      <b/>
      <sz val="9"/>
      <color rgb="FF333333"/>
      <name val="Arial"/>
      <family val="2"/>
    </font>
    <font>
      <sz val="12"/>
      <color rgb="FF333333"/>
      <name val="Arial"/>
      <family val="2"/>
    </font>
    <font>
      <b/>
      <u/>
      <sz val="11"/>
      <color theme="1"/>
      <name val="Aptos Narrow"/>
      <family val="2"/>
      <scheme val="minor"/>
    </font>
    <font>
      <u/>
      <sz val="11"/>
      <color theme="10"/>
      <name val="Aptos Narrow"/>
      <family val="2"/>
      <scheme val="minor"/>
    </font>
    <font>
      <sz val="11"/>
      <color rgb="FFFF0000"/>
      <name val="Aptos Narrow"/>
      <family val="2"/>
      <scheme val="minor"/>
    </font>
    <font>
      <sz val="11"/>
      <name val="Aptos Narrow"/>
      <family val="2"/>
      <scheme val="minor"/>
    </font>
    <font>
      <sz val="12"/>
      <color theme="1"/>
      <name val="Times New Roman"/>
      <family val="1"/>
    </font>
    <font>
      <b/>
      <sz val="12"/>
      <color theme="1"/>
      <name val="Calibri"/>
      <family val="2"/>
    </font>
    <font>
      <b/>
      <sz val="11"/>
      <color theme="1"/>
      <name val="Calibri"/>
      <family val="2"/>
    </font>
    <font>
      <sz val="12"/>
      <color theme="1"/>
      <name val="Calibri"/>
      <family val="2"/>
    </font>
    <font>
      <b/>
      <sz val="14"/>
      <color theme="1"/>
      <name val="Calibri"/>
      <family val="2"/>
    </font>
    <font>
      <b/>
      <sz val="14"/>
      <color theme="1"/>
      <name val="Aptos Narrow"/>
      <family val="2"/>
      <scheme val="minor"/>
    </font>
    <font>
      <sz val="11"/>
      <color theme="1"/>
      <name val="Wingdings"/>
      <charset val="2"/>
    </font>
    <font>
      <sz val="9"/>
      <color theme="1"/>
      <name val="Aptos Narrow"/>
      <family val="2"/>
      <scheme val="minor"/>
    </font>
    <font>
      <u/>
      <sz val="11"/>
      <name val="Aptos Narrow"/>
      <family val="2"/>
      <scheme val="minor"/>
    </font>
    <font>
      <sz val="10"/>
      <name val="Arial"/>
      <family val="2"/>
    </font>
    <font>
      <sz val="10"/>
      <name val="Arial"/>
      <family val="2"/>
    </font>
    <font>
      <sz val="10"/>
      <color theme="1"/>
      <name val="Aptos Narrow"/>
      <family val="2"/>
      <scheme val="minor"/>
    </font>
    <font>
      <b/>
      <sz val="16"/>
      <color theme="1"/>
      <name val="Aptos Narrow"/>
      <family val="2"/>
      <scheme val="minor"/>
    </font>
    <font>
      <b/>
      <sz val="12"/>
      <color theme="1"/>
      <name val="Aptos Narrow"/>
      <family val="2"/>
      <scheme val="minor"/>
    </font>
    <font>
      <u/>
      <sz val="9"/>
      <color rgb="FF2F75B5"/>
      <name val="Aptos Narrow"/>
      <family val="2"/>
      <scheme val="minor"/>
    </font>
    <font>
      <u/>
      <sz val="9"/>
      <color theme="10"/>
      <name val="Aptos Narrow"/>
      <family val="2"/>
      <scheme val="minor"/>
    </font>
    <font>
      <sz val="11"/>
      <color theme="1"/>
      <name val="Calibri"/>
      <family val="2"/>
    </font>
    <font>
      <sz val="11"/>
      <color theme="1" tint="0.499984740745262"/>
      <name val="Aptos Narrow"/>
      <family val="2"/>
      <scheme val="minor"/>
    </font>
  </fonts>
  <fills count="27">
    <fill>
      <patternFill patternType="none"/>
    </fill>
    <fill>
      <patternFill patternType="gray125"/>
    </fill>
    <fill>
      <patternFill patternType="solid">
        <fgColor rgb="FFFFFFFF"/>
        <bgColor indexed="64"/>
      </patternFill>
    </fill>
    <fill>
      <patternFill patternType="solid">
        <fgColor rgb="FFF5F5F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E389"/>
        <bgColor indexed="64"/>
      </patternFill>
    </fill>
    <fill>
      <patternFill patternType="solid">
        <fgColor theme="0"/>
        <bgColor indexed="64"/>
      </patternFill>
    </fill>
    <fill>
      <patternFill patternType="solid">
        <fgColor theme="6" tint="0.79998168889431442"/>
        <bgColor indexed="64"/>
      </patternFill>
    </fill>
    <fill>
      <patternFill patternType="solid">
        <fgColor theme="3" tint="0.74999237037263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rgb="FFD1EAFF"/>
        <bgColor indexed="64"/>
      </patternFill>
    </fill>
    <fill>
      <patternFill patternType="solid">
        <fgColor rgb="FFEAF8D8"/>
        <bgColor indexed="64"/>
      </patternFill>
    </fill>
    <fill>
      <patternFill patternType="solid">
        <fgColor rgb="FFFFEDC1"/>
        <bgColor indexed="64"/>
      </patternFill>
    </fill>
    <fill>
      <patternFill patternType="solid">
        <fgColor rgb="FFFFFFCC"/>
        <bgColor indexed="64"/>
      </patternFill>
    </fill>
    <fill>
      <patternFill patternType="solid">
        <fgColor rgb="FFFFC000"/>
        <bgColor indexed="64"/>
      </patternFill>
    </fill>
    <fill>
      <patternFill patternType="solid">
        <fgColor theme="7" tint="0.79998168889431442"/>
        <bgColor indexed="64"/>
      </patternFill>
    </fill>
    <fill>
      <patternFill patternType="solid">
        <fgColor theme="3" tint="0.89999084444715716"/>
        <bgColor indexed="64"/>
      </patternFill>
    </fill>
    <fill>
      <patternFill patternType="solid">
        <fgColor rgb="FFFF0000"/>
        <bgColor indexed="64"/>
      </patternFill>
    </fill>
    <fill>
      <patternFill patternType="solid">
        <fgColor theme="0" tint="-0.14999847407452621"/>
        <bgColor indexed="64"/>
      </patternFill>
    </fill>
    <fill>
      <patternFill patternType="solid">
        <fgColor rgb="FF00B0F0"/>
        <bgColor indexed="64"/>
      </patternFill>
    </fill>
  </fills>
  <borders count="20">
    <border>
      <left/>
      <right/>
      <top/>
      <bottom/>
      <diagonal/>
    </border>
    <border>
      <left/>
      <right/>
      <top/>
      <bottom style="medium">
        <color rgb="FFDDDDDD"/>
      </bottom>
      <diagonal/>
    </border>
    <border>
      <left/>
      <right/>
      <top style="medium">
        <color rgb="FFDDDDDD"/>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s>
  <cellStyleXfs count="2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0" fontId="1" fillId="0" borderId="0"/>
    <xf numFmtId="0" fontId="19" fillId="0" borderId="0"/>
    <xf numFmtId="0" fontId="1" fillId="0" borderId="0"/>
    <xf numFmtId="9" fontId="19" fillId="0" borderId="0" applyFont="0" applyFill="0" applyBorder="0" applyAlignment="0" applyProtection="0"/>
    <xf numFmtId="0" fontId="20" fillId="0" borderId="0"/>
    <xf numFmtId="0" fontId="22" fillId="0" borderId="0" applyNumberFormat="0" applyFill="0" applyBorder="0" applyProtection="0">
      <alignment vertical="center"/>
    </xf>
    <xf numFmtId="0" fontId="23" fillId="0" borderId="0" applyNumberFormat="0" applyFill="0" applyBorder="0" applyProtection="0">
      <alignment vertical="center"/>
    </xf>
    <xf numFmtId="0" fontId="21" fillId="0" borderId="0" applyNumberFormat="0" applyFill="0" applyBorder="0" applyProtection="0">
      <alignment vertical="center"/>
    </xf>
    <xf numFmtId="0" fontId="1" fillId="17" borderId="0" applyNumberFormat="0" applyFont="0" applyBorder="0" applyAlignment="0" applyProtection="0">
      <alignment vertical="center"/>
    </xf>
    <xf numFmtId="0" fontId="1" fillId="0" borderId="0"/>
    <xf numFmtId="0" fontId="1" fillId="18" borderId="0" applyNumberFormat="0" applyFont="0" applyBorder="0" applyAlignment="0" applyProtection="0">
      <alignment vertical="center"/>
    </xf>
    <xf numFmtId="0" fontId="24" fillId="0" borderId="0" applyNumberFormat="0" applyFill="0" applyBorder="0" applyProtection="0">
      <alignment vertical="center"/>
    </xf>
    <xf numFmtId="43" fontId="19" fillId="0" borderId="0" applyFont="0" applyFill="0" applyBorder="0" applyAlignment="0" applyProtection="0"/>
    <xf numFmtId="0" fontId="19" fillId="20" borderId="0" applyFont="0" applyBorder="0" applyAlignment="0" applyProtection="0">
      <alignment horizontal="left"/>
    </xf>
    <xf numFmtId="0" fontId="1" fillId="19" borderId="0" applyNumberFormat="0" applyFont="0" applyBorder="0" applyAlignment="0" applyProtection="0">
      <alignment vertical="center"/>
    </xf>
    <xf numFmtId="0" fontId="25" fillId="0" borderId="0" applyNumberFormat="0" applyFill="0" applyBorder="0" applyProtection="0">
      <alignment vertical="center"/>
    </xf>
    <xf numFmtId="165" fontId="1" fillId="0" borderId="0" applyFont="0" applyFill="0" applyBorder="0" applyAlignment="0" applyProtection="0"/>
    <xf numFmtId="173" fontId="19" fillId="0" borderId="0"/>
    <xf numFmtId="3" fontId="19" fillId="0" borderId="0" applyFont="0" applyFill="0" applyBorder="0" applyAlignment="0" applyProtection="0"/>
    <xf numFmtId="164" fontId="1" fillId="0" borderId="0" applyFont="0" applyFill="0" applyBorder="0" applyAlignment="0" applyProtection="0"/>
  </cellStyleXfs>
  <cellXfs count="223">
    <xf numFmtId="0" fontId="0" fillId="0" borderId="0" xfId="0"/>
    <xf numFmtId="166" fontId="0" fillId="0" borderId="0" xfId="0" applyNumberFormat="1"/>
    <xf numFmtId="2" fontId="0" fillId="0" borderId="0" xfId="0" applyNumberFormat="1"/>
    <xf numFmtId="1" fontId="0" fillId="0" borderId="0" xfId="0" applyNumberFormat="1"/>
    <xf numFmtId="167" fontId="0" fillId="0" borderId="0" xfId="1" applyNumberFormat="1" applyFont="1"/>
    <xf numFmtId="167" fontId="0" fillId="0" borderId="0" xfId="0" applyNumberFormat="1"/>
    <xf numFmtId="6" fontId="0" fillId="0" borderId="0" xfId="0" applyNumberFormat="1"/>
    <xf numFmtId="0" fontId="3" fillId="2" borderId="1" xfId="0" applyFont="1" applyFill="1" applyBorder="1" applyAlignment="1">
      <alignment horizontal="left" wrapText="1"/>
    </xf>
    <xf numFmtId="0" fontId="3" fillId="3" borderId="2" xfId="0" applyFont="1" applyFill="1" applyBorder="1" applyAlignment="1">
      <alignment horizontal="left" vertical="top" wrapText="1"/>
    </xf>
    <xf numFmtId="0" fontId="3" fillId="2" borderId="2" xfId="0" applyFont="1" applyFill="1" applyBorder="1" applyAlignment="1">
      <alignment horizontal="left" vertical="top" wrapText="1"/>
    </xf>
    <xf numFmtId="44" fontId="0" fillId="0" borderId="0" xfId="2" applyFont="1"/>
    <xf numFmtId="168" fontId="0" fillId="0" borderId="0" xfId="2" applyNumberFormat="1" applyFont="1"/>
    <xf numFmtId="168" fontId="0" fillId="0" borderId="0" xfId="0" applyNumberFormat="1"/>
    <xf numFmtId="0" fontId="2" fillId="0" borderId="0" xfId="0" applyFont="1" applyAlignment="1">
      <alignment horizontal="center"/>
    </xf>
    <xf numFmtId="0" fontId="2" fillId="0" borderId="0" xfId="0" applyFont="1"/>
    <xf numFmtId="0" fontId="2" fillId="0" borderId="0" xfId="0" applyFont="1" applyAlignment="1">
      <alignment wrapText="1"/>
    </xf>
    <xf numFmtId="0" fontId="6" fillId="0" borderId="0" xfId="0" applyFont="1" applyAlignment="1">
      <alignment horizontal="center"/>
    </xf>
    <xf numFmtId="0" fontId="6" fillId="0" borderId="0" xfId="0" applyFont="1" applyAlignment="1">
      <alignment horizontal="center" wrapText="1"/>
    </xf>
    <xf numFmtId="168" fontId="2" fillId="0" borderId="0" xfId="0" applyNumberFormat="1" applyFont="1"/>
    <xf numFmtId="44" fontId="0" fillId="0" borderId="0" xfId="0" applyNumberFormat="1"/>
    <xf numFmtId="10" fontId="0" fillId="0" borderId="0" xfId="0" applyNumberFormat="1"/>
    <xf numFmtId="167" fontId="2" fillId="0" borderId="0" xfId="0" applyNumberFormat="1" applyFont="1"/>
    <xf numFmtId="6" fontId="5" fillId="3" borderId="2" xfId="0" applyNumberFormat="1" applyFont="1" applyFill="1" applyBorder="1" applyAlignment="1">
      <alignment horizontal="center" vertical="top" wrapText="1"/>
    </xf>
    <xf numFmtId="6" fontId="5" fillId="2" borderId="2" xfId="0" applyNumberFormat="1" applyFont="1" applyFill="1" applyBorder="1" applyAlignment="1">
      <alignment horizontal="center" vertical="top" wrapText="1"/>
    </xf>
    <xf numFmtId="169" fontId="0" fillId="0" borderId="0" xfId="3" applyNumberFormat="1" applyFont="1"/>
    <xf numFmtId="0" fontId="7" fillId="0" borderId="0" xfId="4"/>
    <xf numFmtId="17" fontId="0" fillId="0" borderId="0" xfId="0" applyNumberFormat="1"/>
    <xf numFmtId="0" fontId="6" fillId="4" borderId="0" xfId="0" applyFont="1" applyFill="1" applyAlignment="1">
      <alignment horizontal="center"/>
    </xf>
    <xf numFmtId="8" fontId="0" fillId="0" borderId="0" xfId="0" applyNumberFormat="1"/>
    <xf numFmtId="8" fontId="0" fillId="0" borderId="0" xfId="2" applyNumberFormat="1" applyFont="1"/>
    <xf numFmtId="167" fontId="0" fillId="0" borderId="0" xfId="1" applyNumberFormat="1" applyFont="1" applyFill="1"/>
    <xf numFmtId="0" fontId="8" fillId="0" borderId="0" xfId="0" applyFont="1"/>
    <xf numFmtId="6" fontId="2" fillId="0" borderId="0" xfId="0" applyNumberFormat="1" applyFont="1"/>
    <xf numFmtId="2" fontId="9" fillId="0" borderId="0" xfId="0" applyNumberFormat="1" applyFont="1"/>
    <xf numFmtId="1" fontId="9" fillId="0" borderId="0" xfId="0" applyNumberFormat="1" applyFont="1"/>
    <xf numFmtId="0" fontId="0" fillId="0" borderId="0" xfId="0" applyAlignment="1">
      <alignment wrapText="1"/>
    </xf>
    <xf numFmtId="0" fontId="7" fillId="0" borderId="0" xfId="4" applyAlignment="1">
      <alignment wrapText="1"/>
    </xf>
    <xf numFmtId="0" fontId="2" fillId="7" borderId="0" xfId="0" applyFont="1" applyFill="1"/>
    <xf numFmtId="0" fontId="10" fillId="0" borderId="3" xfId="0" applyFont="1" applyBorder="1" applyAlignment="1">
      <alignment horizontal="left" vertical="center"/>
    </xf>
    <xf numFmtId="0" fontId="10" fillId="0" borderId="3" xfId="0" applyFont="1" applyBorder="1" applyAlignment="1">
      <alignment horizontal="left" vertical="center" wrapText="1"/>
    </xf>
    <xf numFmtId="0" fontId="0" fillId="0" borderId="3" xfId="0" applyBorder="1" applyAlignment="1">
      <alignment wrapText="1"/>
    </xf>
    <xf numFmtId="8" fontId="0" fillId="0" borderId="3" xfId="0" applyNumberFormat="1" applyBorder="1"/>
    <xf numFmtId="0" fontId="0" fillId="0" borderId="3" xfId="0" applyBorder="1"/>
    <xf numFmtId="0" fontId="0" fillId="9" borderId="3" xfId="0" applyFill="1" applyBorder="1"/>
    <xf numFmtId="0" fontId="2" fillId="0" borderId="3" xfId="0" applyFont="1" applyBorder="1"/>
    <xf numFmtId="8" fontId="2" fillId="0" borderId="3" xfId="0" applyNumberFormat="1" applyFont="1" applyBorder="1"/>
    <xf numFmtId="0" fontId="0" fillId="0" borderId="3" xfId="0" applyBorder="1" applyAlignment="1">
      <alignment horizontal="right"/>
    </xf>
    <xf numFmtId="0" fontId="2" fillId="0" borderId="3" xfId="0" applyFont="1" applyBorder="1" applyAlignment="1">
      <alignment wrapText="1"/>
    </xf>
    <xf numFmtId="168" fontId="2" fillId="0" borderId="0" xfId="2" applyNumberFormat="1" applyFont="1"/>
    <xf numFmtId="2" fontId="0" fillId="10" borderId="3" xfId="0" applyNumberFormat="1" applyFill="1" applyBorder="1"/>
    <xf numFmtId="0" fontId="11" fillId="8" borderId="4" xfId="0" applyFont="1" applyFill="1" applyBorder="1" applyAlignment="1">
      <alignment horizontal="center" vertical="center"/>
    </xf>
    <xf numFmtId="0" fontId="11" fillId="8" borderId="4" xfId="0" applyFont="1" applyFill="1" applyBorder="1" applyAlignment="1">
      <alignment horizontal="center" vertical="center" wrapText="1"/>
    </xf>
    <xf numFmtId="0" fontId="0" fillId="0" borderId="5" xfId="0" applyBorder="1"/>
    <xf numFmtId="0" fontId="0" fillId="0" borderId="6" xfId="0" applyBorder="1"/>
    <xf numFmtId="0" fontId="0" fillId="0" borderId="4" xfId="0" applyBorder="1"/>
    <xf numFmtId="2" fontId="0" fillId="10" borderId="0" xfId="0" applyNumberFormat="1" applyFill="1"/>
    <xf numFmtId="0" fontId="6" fillId="0" borderId="0" xfId="0" applyFont="1"/>
    <xf numFmtId="0" fontId="8" fillId="10" borderId="0" xfId="0" applyFont="1" applyFill="1"/>
    <xf numFmtId="0" fontId="0" fillId="8" borderId="0" xfId="0" applyFill="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2" fillId="8" borderId="3" xfId="0" quotePrefix="1" applyFont="1" applyFill="1" applyBorder="1" applyAlignment="1">
      <alignment horizontal="center" vertical="center"/>
    </xf>
    <xf numFmtId="0" fontId="2" fillId="8" borderId="3" xfId="0" applyFont="1" applyFill="1" applyBorder="1" applyAlignment="1">
      <alignment horizontal="left" wrapText="1"/>
    </xf>
    <xf numFmtId="0" fontId="2" fillId="8" borderId="3" xfId="0" applyFont="1" applyFill="1" applyBorder="1" applyAlignment="1">
      <alignment horizontal="center"/>
    </xf>
    <xf numFmtId="0" fontId="15" fillId="0" borderId="3" xfId="0" applyFont="1" applyBorder="1" applyAlignment="1">
      <alignment horizontal="center" vertical="center"/>
    </xf>
    <xf numFmtId="0" fontId="0" fillId="0" borderId="3" xfId="0" applyBorder="1" applyAlignment="1">
      <alignment vertical="center"/>
    </xf>
    <xf numFmtId="0" fontId="16" fillId="0" borderId="3" xfId="0" applyFont="1" applyBorder="1" applyAlignment="1">
      <alignment horizontal="center" vertical="center"/>
    </xf>
    <xf numFmtId="0" fontId="17" fillId="0" borderId="3" xfId="0" applyFont="1" applyBorder="1" applyAlignment="1">
      <alignment horizontal="left" vertical="center" wrapText="1"/>
    </xf>
    <xf numFmtId="0" fontId="0" fillId="0" borderId="3" xfId="0" applyBorder="1" applyAlignment="1">
      <alignment horizontal="center" vertical="center"/>
    </xf>
    <xf numFmtId="0" fontId="17" fillId="0" borderId="3" xfId="0" applyFont="1" applyBorder="1" applyAlignment="1">
      <alignment horizontal="center" vertical="center" wrapText="1"/>
    </xf>
    <xf numFmtId="0" fontId="0" fillId="11" borderId="3" xfId="0" applyFill="1" applyBorder="1"/>
    <xf numFmtId="0" fontId="2" fillId="11" borderId="3" xfId="0" applyFont="1" applyFill="1" applyBorder="1" applyAlignment="1">
      <alignment horizontal="center"/>
    </xf>
    <xf numFmtId="0" fontId="2" fillId="11" borderId="3" xfId="0" applyFont="1" applyFill="1" applyBorder="1" applyAlignment="1">
      <alignment horizontal="left" wrapText="1"/>
    </xf>
    <xf numFmtId="0" fontId="2" fillId="11" borderId="3" xfId="0" quotePrefix="1" applyFont="1" applyFill="1" applyBorder="1" applyAlignment="1">
      <alignment horizontal="center" vertical="center"/>
    </xf>
    <xf numFmtId="0" fontId="15" fillId="0" borderId="3" xfId="0" quotePrefix="1" applyFont="1" applyBorder="1" applyAlignment="1">
      <alignment horizontal="center" vertical="center"/>
    </xf>
    <xf numFmtId="0" fontId="2" fillId="8" borderId="3" xfId="0" applyFont="1" applyFill="1" applyBorder="1" applyAlignment="1">
      <alignment horizontal="center" wrapText="1"/>
    </xf>
    <xf numFmtId="9" fontId="0" fillId="0" borderId="3" xfId="0" applyNumberFormat="1" applyBorder="1" applyAlignment="1">
      <alignment horizontal="center" vertical="center" wrapText="1"/>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0" fontId="6" fillId="0" borderId="17" xfId="0" applyFont="1" applyBorder="1"/>
    <xf numFmtId="0" fontId="0" fillId="0" borderId="17" xfId="0" applyBorder="1"/>
    <xf numFmtId="9" fontId="0" fillId="0" borderId="0" xfId="0" applyNumberFormat="1"/>
    <xf numFmtId="0" fontId="2" fillId="0" borderId="17" xfId="0" applyFont="1" applyBorder="1"/>
    <xf numFmtId="0" fontId="0" fillId="0" borderId="0" xfId="0" quotePrefix="1"/>
    <xf numFmtId="0" fontId="0" fillId="0" borderId="17" xfId="0" applyBorder="1" applyAlignment="1">
      <alignment wrapText="1"/>
    </xf>
    <xf numFmtId="0" fontId="2" fillId="12" borderId="3" xfId="0" applyFont="1" applyFill="1" applyBorder="1" applyAlignment="1">
      <alignment horizontal="center" wrapText="1"/>
    </xf>
    <xf numFmtId="0" fontId="0" fillId="0" borderId="3" xfId="0" applyBorder="1" applyAlignment="1">
      <alignment horizontal="left" wrapText="1"/>
    </xf>
    <xf numFmtId="0" fontId="9" fillId="0" borderId="3" xfId="4" applyFont="1" applyBorder="1" applyAlignment="1">
      <alignment horizontal="left" wrapText="1"/>
    </xf>
    <xf numFmtId="0" fontId="9" fillId="0" borderId="3" xfId="0" applyFont="1" applyBorder="1" applyAlignment="1">
      <alignment horizontal="left" wrapText="1"/>
    </xf>
    <xf numFmtId="0" fontId="0" fillId="0" borderId="6" xfId="0" applyBorder="1" applyAlignment="1">
      <alignment horizontal="left"/>
    </xf>
    <xf numFmtId="0" fontId="18" fillId="0" borderId="3" xfId="4" applyFont="1" applyBorder="1" applyAlignment="1">
      <alignment horizontal="left" wrapText="1"/>
    </xf>
    <xf numFmtId="0" fontId="7" fillId="0" borderId="3" xfId="4" applyBorder="1" applyAlignment="1">
      <alignment horizontal="left" wrapText="1"/>
    </xf>
    <xf numFmtId="0" fontId="0" fillId="5" borderId="3" xfId="0" applyFill="1" applyBorder="1" applyAlignment="1">
      <alignment horizontal="left" wrapText="1"/>
    </xf>
    <xf numFmtId="0" fontId="8" fillId="5" borderId="3" xfId="0" applyFont="1" applyFill="1" applyBorder="1" applyAlignment="1">
      <alignment horizontal="left" wrapText="1"/>
    </xf>
    <xf numFmtId="0" fontId="0" fillId="0" borderId="15" xfId="0" applyBorder="1" applyAlignment="1">
      <alignment wrapText="1"/>
    </xf>
    <xf numFmtId="0" fontId="8" fillId="5" borderId="3" xfId="0" applyFont="1" applyFill="1" applyBorder="1" applyAlignment="1">
      <alignment horizontal="center" wrapText="1"/>
    </xf>
    <xf numFmtId="0" fontId="0" fillId="5" borderId="16" xfId="0" applyFill="1" applyBorder="1" applyAlignment="1">
      <alignment horizontal="center" wrapText="1"/>
    </xf>
    <xf numFmtId="0" fontId="0" fillId="5" borderId="3" xfId="0" applyFill="1" applyBorder="1" applyAlignment="1">
      <alignment horizontal="center" wrapText="1"/>
    </xf>
    <xf numFmtId="0" fontId="0" fillId="0" borderId="3" xfId="0" applyBorder="1" applyAlignment="1">
      <alignment horizontal="center" wrapText="1"/>
    </xf>
    <xf numFmtId="0" fontId="0" fillId="0" borderId="0" xfId="0" applyAlignment="1">
      <alignment horizontal="center"/>
    </xf>
    <xf numFmtId="6" fontId="0" fillId="0" borderId="3" xfId="0" applyNumberFormat="1" applyBorder="1"/>
    <xf numFmtId="6" fontId="2" fillId="0" borderId="3" xfId="0" applyNumberFormat="1" applyFont="1" applyBorder="1"/>
    <xf numFmtId="0" fontId="12" fillId="10" borderId="6" xfId="0" applyFont="1" applyFill="1" applyBorder="1" applyAlignment="1">
      <alignment horizontal="center" vertical="center" wrapText="1"/>
    </xf>
    <xf numFmtId="0" fontId="0" fillId="10" borderId="10" xfId="0" applyFill="1" applyBorder="1"/>
    <xf numFmtId="0" fontId="0" fillId="10" borderId="12" xfId="0" applyFill="1" applyBorder="1"/>
    <xf numFmtId="0" fontId="0" fillId="13" borderId="0" xfId="0" applyFill="1"/>
    <xf numFmtId="0" fontId="0" fillId="6" borderId="7" xfId="0" applyFill="1" applyBorder="1"/>
    <xf numFmtId="0" fontId="0" fillId="6" borderId="8" xfId="0" applyFill="1" applyBorder="1"/>
    <xf numFmtId="0" fontId="0" fillId="6" borderId="9" xfId="0" applyFill="1" applyBorder="1"/>
    <xf numFmtId="0" fontId="0" fillId="6" borderId="10" xfId="0" applyFill="1" applyBorder="1"/>
    <xf numFmtId="0" fontId="0" fillId="6" borderId="0" xfId="0" applyFill="1"/>
    <xf numFmtId="0" fontId="0" fillId="6" borderId="11" xfId="0" applyFill="1" applyBorder="1"/>
    <xf numFmtId="0" fontId="0" fillId="14" borderId="7" xfId="0" applyFill="1" applyBorder="1"/>
    <xf numFmtId="0" fontId="0" fillId="14" borderId="8" xfId="0" applyFill="1" applyBorder="1"/>
    <xf numFmtId="0" fontId="0" fillId="14" borderId="9" xfId="0" applyFill="1" applyBorder="1"/>
    <xf numFmtId="0" fontId="0" fillId="14" borderId="10" xfId="0" applyFill="1" applyBorder="1"/>
    <xf numFmtId="0" fontId="0" fillId="14" borderId="0" xfId="0" applyFill="1"/>
    <xf numFmtId="0" fontId="0" fillId="14" borderId="11" xfId="0" applyFill="1" applyBorder="1"/>
    <xf numFmtId="0" fontId="2" fillId="14" borderId="10" xfId="0" applyFont="1" applyFill="1" applyBorder="1"/>
    <xf numFmtId="0" fontId="2" fillId="13" borderId="10" xfId="0" applyFont="1" applyFill="1" applyBorder="1"/>
    <xf numFmtId="8" fontId="0" fillId="10" borderId="0" xfId="2" applyNumberFormat="1" applyFont="1" applyFill="1"/>
    <xf numFmtId="43" fontId="2" fillId="0" borderId="0" xfId="0" applyNumberFormat="1" applyFont="1"/>
    <xf numFmtId="171" fontId="0" fillId="0" borderId="0" xfId="0" applyNumberFormat="1"/>
    <xf numFmtId="172" fontId="0" fillId="0" borderId="0" xfId="0" applyNumberFormat="1"/>
    <xf numFmtId="0" fontId="11" fillId="15" borderId="3" xfId="0" applyFont="1" applyFill="1" applyBorder="1" applyAlignment="1">
      <alignment horizontal="center" vertical="center"/>
    </xf>
    <xf numFmtId="0" fontId="11" fillId="15" borderId="3" xfId="0" applyFont="1" applyFill="1" applyBorder="1" applyAlignment="1">
      <alignment horizontal="center" vertical="center" wrapText="1"/>
    </xf>
    <xf numFmtId="0" fontId="0" fillId="0" borderId="0" xfId="0" applyAlignment="1">
      <alignment horizontal="right"/>
    </xf>
    <xf numFmtId="43" fontId="0" fillId="0" borderId="0" xfId="0" applyNumberFormat="1"/>
    <xf numFmtId="5" fontId="0" fillId="0" borderId="0" xfId="0" applyNumberFormat="1"/>
    <xf numFmtId="168" fontId="0" fillId="0" borderId="0" xfId="2" applyNumberFormat="1" applyFont="1" applyFill="1"/>
    <xf numFmtId="44" fontId="0" fillId="0" borderId="0" xfId="2" applyFont="1" applyFill="1"/>
    <xf numFmtId="6" fontId="0" fillId="0" borderId="0" xfId="0" applyNumberFormat="1" applyAlignment="1">
      <alignment horizontal="right"/>
    </xf>
    <xf numFmtId="43" fontId="0" fillId="0" borderId="0" xfId="1" applyFont="1" applyFill="1"/>
    <xf numFmtId="170" fontId="0" fillId="0" borderId="0" xfId="0" applyNumberFormat="1"/>
    <xf numFmtId="9" fontId="0" fillId="0" borderId="3" xfId="0" applyNumberFormat="1" applyBorder="1"/>
    <xf numFmtId="9" fontId="0" fillId="0" borderId="3" xfId="0" applyNumberFormat="1" applyBorder="1" applyAlignment="1">
      <alignment horizontal="right"/>
    </xf>
    <xf numFmtId="167" fontId="0" fillId="0" borderId="3" xfId="0" applyNumberFormat="1" applyBorder="1" applyAlignment="1">
      <alignment horizontal="right"/>
    </xf>
    <xf numFmtId="0" fontId="0" fillId="0" borderId="3" xfId="0" applyBorder="1" applyAlignment="1">
      <alignment horizontal="right" wrapText="1"/>
    </xf>
    <xf numFmtId="171" fontId="0" fillId="0" borderId="3" xfId="0" applyNumberFormat="1" applyBorder="1"/>
    <xf numFmtId="0" fontId="0" fillId="0" borderId="0" xfId="0" applyAlignment="1">
      <alignment horizontal="right" wrapText="1"/>
    </xf>
    <xf numFmtId="0" fontId="0" fillId="12" borderId="3" xfId="0" applyFill="1" applyBorder="1"/>
    <xf numFmtId="0" fontId="2" fillId="12" borderId="3" xfId="0" applyFont="1" applyFill="1" applyBorder="1" applyAlignment="1">
      <alignment horizontal="center"/>
    </xf>
    <xf numFmtId="8" fontId="2" fillId="12" borderId="3" xfId="0" applyNumberFormat="1" applyFont="1" applyFill="1" applyBorder="1" applyAlignment="1">
      <alignment horizontal="center"/>
    </xf>
    <xf numFmtId="6" fontId="0" fillId="16" borderId="3" xfId="0" applyNumberFormat="1" applyFill="1" applyBorder="1"/>
    <xf numFmtId="8" fontId="0" fillId="16" borderId="3" xfId="0" applyNumberFormat="1" applyFill="1" applyBorder="1"/>
    <xf numFmtId="0" fontId="0" fillId="16" borderId="3" xfId="0" applyFill="1" applyBorder="1"/>
    <xf numFmtId="6" fontId="0" fillId="16" borderId="3" xfId="0" applyNumberFormat="1" applyFill="1" applyBorder="1" applyAlignment="1">
      <alignment horizontal="right"/>
    </xf>
    <xf numFmtId="1" fontId="0" fillId="0" borderId="3" xfId="0" applyNumberFormat="1" applyBorder="1"/>
    <xf numFmtId="171" fontId="0" fillId="0" borderId="0" xfId="0" applyNumberFormat="1" applyAlignment="1">
      <alignment horizontal="right"/>
    </xf>
    <xf numFmtId="0" fontId="2" fillId="12" borderId="3" xfId="0" applyFont="1" applyFill="1" applyBorder="1" applyAlignment="1">
      <alignment wrapText="1"/>
    </xf>
    <xf numFmtId="0" fontId="10" fillId="0" borderId="3" xfId="0" applyFont="1" applyBorder="1" applyAlignment="1">
      <alignment horizontal="center" vertical="center"/>
    </xf>
    <xf numFmtId="44" fontId="0" fillId="0" borderId="3" xfId="2" applyFont="1" applyBorder="1"/>
    <xf numFmtId="0" fontId="0" fillId="21" borderId="6" xfId="0" applyFill="1" applyBorder="1" applyAlignment="1">
      <alignment vertical="center" wrapText="1"/>
    </xf>
    <xf numFmtId="0" fontId="26" fillId="8" borderId="6" xfId="0" applyFont="1" applyFill="1" applyBorder="1" applyAlignment="1">
      <alignment vertical="center" wrapText="1"/>
    </xf>
    <xf numFmtId="0" fontId="10" fillId="0" borderId="3" xfId="0" applyFont="1" applyBorder="1" applyAlignment="1">
      <alignment vertical="center"/>
    </xf>
    <xf numFmtId="0" fontId="26" fillId="11" borderId="6" xfId="0" applyFont="1" applyFill="1" applyBorder="1" applyAlignment="1">
      <alignment vertical="center" wrapText="1"/>
    </xf>
    <xf numFmtId="0" fontId="11" fillId="8" borderId="0" xfId="0" applyFont="1" applyFill="1" applyAlignment="1">
      <alignment horizontal="center" vertical="center" wrapText="1"/>
    </xf>
    <xf numFmtId="0" fontId="10" fillId="0" borderId="6" xfId="0" applyFont="1" applyBorder="1" applyAlignment="1">
      <alignment horizontal="left" vertical="center"/>
    </xf>
    <xf numFmtId="0" fontId="2" fillId="6" borderId="0" xfId="0" applyFont="1" applyFill="1" applyAlignment="1">
      <alignment horizontal="center"/>
    </xf>
    <xf numFmtId="0" fontId="6" fillId="6" borderId="0" xfId="0" applyFont="1" applyFill="1" applyAlignment="1">
      <alignment horizontal="center"/>
    </xf>
    <xf numFmtId="8" fontId="0" fillId="0" borderId="0" xfId="0" applyNumberFormat="1" applyAlignment="1">
      <alignment wrapText="1"/>
    </xf>
    <xf numFmtId="2" fontId="0" fillId="0" borderId="0" xfId="0" applyNumberFormat="1" applyAlignment="1">
      <alignment wrapText="1"/>
    </xf>
    <xf numFmtId="9" fontId="0" fillId="0" borderId="0" xfId="3" applyFont="1"/>
    <xf numFmtId="9" fontId="0" fillId="5" borderId="0" xfId="3" applyFont="1" applyFill="1"/>
    <xf numFmtId="174" fontId="0" fillId="0" borderId="0" xfId="21" applyNumberFormat="1" applyFont="1"/>
    <xf numFmtId="0" fontId="27" fillId="0" borderId="0" xfId="0" applyFont="1"/>
    <xf numFmtId="174" fontId="27" fillId="0" borderId="0" xfId="21" applyNumberFormat="1" applyFont="1"/>
    <xf numFmtId="4" fontId="0" fillId="0" borderId="0" xfId="0" applyNumberFormat="1"/>
    <xf numFmtId="0" fontId="0" fillId="22" borderId="0" xfId="0" applyFill="1"/>
    <xf numFmtId="0" fontId="0" fillId="15" borderId="0" xfId="0" applyFill="1"/>
    <xf numFmtId="4" fontId="27" fillId="0" borderId="0" xfId="0" applyNumberFormat="1" applyFont="1"/>
    <xf numFmtId="1" fontId="27" fillId="0" borderId="0" xfId="0" applyNumberFormat="1" applyFont="1"/>
    <xf numFmtId="165" fontId="0" fillId="15" borderId="0" xfId="0" applyNumberFormat="1" applyFill="1"/>
    <xf numFmtId="0" fontId="0" fillId="0" borderId="0" xfId="0" applyAlignment="1">
      <alignment horizontal="center" wrapText="1"/>
    </xf>
    <xf numFmtId="0" fontId="0" fillId="24" borderId="0" xfId="0" applyFill="1"/>
    <xf numFmtId="9" fontId="0" fillId="24" borderId="0" xfId="0" applyNumberFormat="1" applyFill="1" applyAlignment="1">
      <alignment horizontal="center"/>
    </xf>
    <xf numFmtId="0" fontId="0" fillId="0" borderId="0" xfId="0" applyAlignment="1">
      <alignment horizontal="center" vertical="center" wrapText="1"/>
    </xf>
    <xf numFmtId="0" fontId="0" fillId="15" borderId="0" xfId="0" applyFill="1" applyAlignment="1">
      <alignment horizontal="right"/>
    </xf>
    <xf numFmtId="0" fontId="0" fillId="15" borderId="0" xfId="0" applyFill="1" applyAlignment="1">
      <alignment horizontal="center" vertical="center" wrapText="1"/>
    </xf>
    <xf numFmtId="165" fontId="27" fillId="15" borderId="0" xfId="0" applyNumberFormat="1" applyFont="1" applyFill="1"/>
    <xf numFmtId="0" fontId="0" fillId="25" borderId="0" xfId="0" applyFill="1"/>
    <xf numFmtId="4" fontId="0" fillId="25" borderId="0" xfId="0" applyNumberFormat="1" applyFill="1"/>
    <xf numFmtId="174" fontId="0" fillId="25" borderId="0" xfId="0" applyNumberFormat="1" applyFill="1"/>
    <xf numFmtId="174" fontId="0" fillId="25" borderId="0" xfId="21" applyNumberFormat="1" applyFont="1" applyFill="1"/>
    <xf numFmtId="0" fontId="15" fillId="22" borderId="0" xfId="0" applyFont="1" applyFill="1" applyAlignment="1">
      <alignment horizontal="left"/>
    </xf>
    <xf numFmtId="175" fontId="0" fillId="26" borderId="0" xfId="0" applyNumberFormat="1" applyFill="1"/>
    <xf numFmtId="174" fontId="27" fillId="23" borderId="0" xfId="21" applyNumberFormat="1" applyFont="1" applyFill="1"/>
    <xf numFmtId="174" fontId="0" fillId="23" borderId="0" xfId="21" applyNumberFormat="1" applyFont="1" applyFill="1"/>
    <xf numFmtId="0" fontId="0" fillId="10" borderId="0" xfId="0" applyFill="1"/>
    <xf numFmtId="0" fontId="0" fillId="21" borderId="6" xfId="0" applyFill="1" applyBorder="1" applyAlignment="1">
      <alignment horizontal="center" vertical="center" wrapText="1"/>
    </xf>
    <xf numFmtId="0" fontId="11" fillId="8" borderId="6" xfId="0" applyFont="1" applyFill="1" applyBorder="1" applyAlignment="1">
      <alignment horizontal="center" vertical="center" textRotation="255"/>
    </xf>
    <xf numFmtId="0" fontId="13" fillId="8" borderId="6" xfId="0" applyFont="1" applyFill="1" applyBorder="1" applyAlignment="1">
      <alignment horizontal="center" vertical="center" textRotation="255"/>
    </xf>
    <xf numFmtId="0" fontId="12" fillId="11" borderId="6" xfId="0" applyFont="1" applyFill="1" applyBorder="1" applyAlignment="1">
      <alignment horizontal="center" vertical="center" wrapText="1"/>
    </xf>
    <xf numFmtId="0" fontId="10" fillId="0" borderId="3" xfId="0" applyFont="1" applyBorder="1" applyAlignment="1">
      <alignment horizontal="center" vertical="center"/>
    </xf>
    <xf numFmtId="0" fontId="14" fillId="0" borderId="0" xfId="0" applyFont="1" applyAlignment="1">
      <alignment horizontal="center" wrapText="1"/>
    </xf>
    <xf numFmtId="0" fontId="2" fillId="0" borderId="15" xfId="0" applyFont="1" applyBorder="1" applyAlignment="1">
      <alignment horizontal="right" wrapText="1"/>
    </xf>
    <xf numFmtId="0" fontId="2" fillId="0" borderId="18" xfId="0" applyFont="1" applyBorder="1" applyAlignment="1">
      <alignment horizontal="right" wrapText="1"/>
    </xf>
    <xf numFmtId="0" fontId="2" fillId="0" borderId="16" xfId="0" applyFont="1" applyBorder="1" applyAlignment="1">
      <alignment horizontal="right" wrapText="1"/>
    </xf>
    <xf numFmtId="0" fontId="2" fillId="0" borderId="15" xfId="0" applyFont="1" applyBorder="1" applyAlignment="1">
      <alignment horizontal="right"/>
    </xf>
    <xf numFmtId="0" fontId="2" fillId="0" borderId="18" xfId="0" applyFont="1" applyBorder="1" applyAlignment="1">
      <alignment horizontal="right"/>
    </xf>
    <xf numFmtId="0" fontId="2" fillId="0" borderId="16" xfId="0" applyFont="1" applyBorder="1" applyAlignment="1">
      <alignment horizontal="right"/>
    </xf>
    <xf numFmtId="0" fontId="12" fillId="7" borderId="6" xfId="0" applyFont="1" applyFill="1" applyBorder="1" applyAlignment="1">
      <alignment horizontal="center" vertical="center" wrapText="1"/>
    </xf>
    <xf numFmtId="0" fontId="14" fillId="0" borderId="18" xfId="0" applyFont="1" applyBorder="1" applyAlignment="1">
      <alignment horizontal="center" wrapText="1"/>
    </xf>
    <xf numFmtId="0" fontId="2" fillId="6" borderId="0" xfId="0" applyFont="1" applyFill="1" applyAlignment="1">
      <alignment horizontal="center"/>
    </xf>
    <xf numFmtId="0" fontId="6" fillId="4" borderId="0" xfId="0" applyFont="1" applyFill="1" applyAlignment="1">
      <alignment horizontal="center"/>
    </xf>
    <xf numFmtId="0" fontId="6" fillId="6" borderId="0" xfId="0" applyFont="1" applyFill="1" applyAlignment="1">
      <alignment horizontal="center"/>
    </xf>
    <xf numFmtId="0" fontId="6" fillId="0" borderId="0" xfId="0" applyFont="1" applyAlignment="1">
      <alignment horizontal="center"/>
    </xf>
    <xf numFmtId="0" fontId="0" fillId="0" borderId="15" xfId="0" applyBorder="1" applyAlignment="1">
      <alignment horizontal="left" vertical="center"/>
    </xf>
    <xf numFmtId="0" fontId="0" fillId="0" borderId="16" xfId="0" applyBorder="1" applyAlignment="1">
      <alignment horizontal="left" vertical="center"/>
    </xf>
    <xf numFmtId="0" fontId="2" fillId="8" borderId="3" xfId="0" applyFont="1" applyFill="1" applyBorder="1" applyAlignment="1">
      <alignment horizontal="left" wrapText="1"/>
    </xf>
    <xf numFmtId="0" fontId="2" fillId="11" borderId="15" xfId="0" applyFont="1" applyFill="1" applyBorder="1" applyAlignment="1">
      <alignment horizontal="left" wrapText="1"/>
    </xf>
    <xf numFmtId="0" fontId="2" fillId="11" borderId="16" xfId="0" applyFont="1" applyFill="1" applyBorder="1" applyAlignment="1">
      <alignment horizontal="left" wrapText="1"/>
    </xf>
    <xf numFmtId="0" fontId="0" fillId="0" borderId="3" xfId="0" applyBorder="1" applyAlignment="1">
      <alignment horizontal="left" vertical="center"/>
    </xf>
    <xf numFmtId="0" fontId="0" fillId="0" borderId="3"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14" fillId="0" borderId="19" xfId="0" applyFont="1" applyBorder="1" applyAlignment="1">
      <alignment horizontal="center" wrapText="1"/>
    </xf>
  </cellXfs>
  <cellStyles count="25">
    <cellStyle name="Comma" xfId="1" builtinId="3"/>
    <cellStyle name="Comma 2" xfId="17" xr:uid="{86F8CCA7-9214-443C-A3D5-0B4CCEAF6D46}"/>
    <cellStyle name="Comma 2 2" xfId="23" xr:uid="{87FA9780-BA44-4338-A925-4B86DAE6FDF7}"/>
    <cellStyle name="Comma 3" xfId="21" xr:uid="{C01A051C-5CB7-4338-930C-FB5F9AAA3C49}"/>
    <cellStyle name="Currency" xfId="2" builtinId="4"/>
    <cellStyle name="Currency 2" xfId="24" xr:uid="{44E46A6A-D385-4AE6-A611-B4D40C589E5F}"/>
    <cellStyle name="Emission Totals" xfId="15" xr:uid="{6F5A34DC-78C1-4C4E-9779-4FBEAF30F619}"/>
    <cellStyle name="Enter Info" xfId="13" xr:uid="{F4B8C7B2-D26E-4471-AE91-ABE399DDEC8B}"/>
    <cellStyle name="Hyperlink" xfId="4" builtinId="8"/>
    <cellStyle name="Normal" xfId="0" builtinId="0"/>
    <cellStyle name="Normal 2" xfId="9" xr:uid="{67AEF415-03C6-4718-ADF4-E78E0E7FA7E0}"/>
    <cellStyle name="Normal 2 2" xfId="6" xr:uid="{C07AFF1F-8D49-4D12-997C-1461E8E0370E}"/>
    <cellStyle name="Normal 2 3" xfId="14" xr:uid="{82C15F57-A2F6-4067-AAA6-56C5D8865DF6}"/>
    <cellStyle name="Normal 2 4" xfId="22" xr:uid="{79E6C097-E865-45B1-9F4D-2C0620D44E14}"/>
    <cellStyle name="Normal 4" xfId="5" xr:uid="{922752B7-B899-4F08-913F-A1C8169A769A}"/>
    <cellStyle name="Normal 5" xfId="7" xr:uid="{D3788B8F-EA27-46A8-AB10-69CA0B55AE63}"/>
    <cellStyle name="PCA Body Text" xfId="12" xr:uid="{951B2C97-2167-427C-9A1C-7D069A292126}"/>
    <cellStyle name="PCA Heading 1" xfId="10" xr:uid="{041C3B92-9DCA-4F48-8EC9-9332BAB54C74}"/>
    <cellStyle name="PCA Heading 3" xfId="11" xr:uid="{B3F14A78-5728-4C1B-9D33-FE118774B269}"/>
    <cellStyle name="PCA Hyperlink" xfId="16" xr:uid="{06F9C6ED-70C7-4A00-8F2C-BAD48B822DE3}"/>
    <cellStyle name="PCA Hyperlink 2" xfId="20" xr:uid="{ABD912E9-E5D9-45E8-8B3E-DDD85CC020A8}"/>
    <cellStyle name="Percent" xfId="3" builtinId="5"/>
    <cellStyle name="Percent 2" xfId="8" xr:uid="{333318CE-9C81-4120-8FAA-C652A180FDC4}"/>
    <cellStyle name="Permit Thresholds" xfId="18" xr:uid="{99AE05A1-4FCE-4B70-99CB-E126F5070283}"/>
    <cellStyle name="Standard Values" xfId="19" xr:uid="{715D24CC-1956-4ED0-9691-D0BBD9FFF4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12.xml" Id="rId13" /><Relationship Type="http://schemas.openxmlformats.org/officeDocument/2006/relationships/worksheet" Target="worksheets/sheet17.xml" Id="rId18" /><Relationship Type="http://schemas.openxmlformats.org/officeDocument/2006/relationships/worksheet" Target="worksheets/sheet25.xml" Id="rId26" /><Relationship Type="http://schemas.openxmlformats.org/officeDocument/2006/relationships/chartsheet" Target="chartsheets/sheet1.xml" Id="rId3" /><Relationship Type="http://schemas.openxmlformats.org/officeDocument/2006/relationships/worksheet" Target="worksheets/sheet20.xml" Id="rId21" /><Relationship Type="http://schemas.openxmlformats.org/officeDocument/2006/relationships/customXml" Target="../customXml/item3.xml" Id="rId34" /><Relationship Type="http://schemas.openxmlformats.org/officeDocument/2006/relationships/worksheet" Target="worksheets/sheet6.xml" Id="rId7" /><Relationship Type="http://schemas.openxmlformats.org/officeDocument/2006/relationships/worksheet" Target="worksheets/sheet11.xml" Id="rId12" /><Relationship Type="http://schemas.openxmlformats.org/officeDocument/2006/relationships/worksheet" Target="worksheets/sheet16.xml" Id="rId17" /><Relationship Type="http://schemas.openxmlformats.org/officeDocument/2006/relationships/worksheet" Target="worksheets/sheet24.xml" Id="rId25" /><Relationship Type="http://schemas.openxmlformats.org/officeDocument/2006/relationships/customXml" Target="../customXml/item2.xml" Id="rId33" /><Relationship Type="http://schemas.openxmlformats.org/officeDocument/2006/relationships/worksheet" Target="worksheets/sheet2.xml" Id="rId2" /><Relationship Type="http://schemas.openxmlformats.org/officeDocument/2006/relationships/worksheet" Target="worksheets/sheet15.xml" Id="rId16" /><Relationship Type="http://schemas.openxmlformats.org/officeDocument/2006/relationships/worksheet" Target="worksheets/sheet19.xml" Id="rId20" /><Relationship Type="http://schemas.openxmlformats.org/officeDocument/2006/relationships/styles" Target="styles.xml" Id="rId29" /><Relationship Type="http://schemas.openxmlformats.org/officeDocument/2006/relationships/worksheet" Target="worksheets/sheet1.xml" Id="rId1" /><Relationship Type="http://schemas.openxmlformats.org/officeDocument/2006/relationships/worksheet" Target="worksheets/sheet5.xml" Id="rId6" /><Relationship Type="http://schemas.openxmlformats.org/officeDocument/2006/relationships/worksheet" Target="worksheets/sheet10.xml" Id="rId11" /><Relationship Type="http://schemas.openxmlformats.org/officeDocument/2006/relationships/worksheet" Target="worksheets/sheet23.xml" Id="rId24" /><Relationship Type="http://schemas.openxmlformats.org/officeDocument/2006/relationships/customXml" Target="../customXml/item1.xml" Id="rId32" /><Relationship Type="http://schemas.openxmlformats.org/officeDocument/2006/relationships/worksheet" Target="worksheets/sheet4.xml" Id="rId5" /><Relationship Type="http://schemas.openxmlformats.org/officeDocument/2006/relationships/worksheet" Target="worksheets/sheet14.xml" Id="rId15" /><Relationship Type="http://schemas.openxmlformats.org/officeDocument/2006/relationships/worksheet" Target="worksheets/sheet22.xml" Id="rId23" /><Relationship Type="http://schemas.openxmlformats.org/officeDocument/2006/relationships/theme" Target="theme/theme1.xml" Id="rId28" /><Relationship Type="http://schemas.openxmlformats.org/officeDocument/2006/relationships/worksheet" Target="worksheets/sheet9.xml" Id="rId10" /><Relationship Type="http://schemas.openxmlformats.org/officeDocument/2006/relationships/worksheet" Target="worksheets/sheet18.xml" Id="rId19" /><Relationship Type="http://schemas.openxmlformats.org/officeDocument/2006/relationships/calcChain" Target="calcChain.xml" Id="rId31" /><Relationship Type="http://schemas.openxmlformats.org/officeDocument/2006/relationships/worksheet" Target="worksheets/sheet3.xml" Id="rId4" /><Relationship Type="http://schemas.openxmlformats.org/officeDocument/2006/relationships/worksheet" Target="worksheets/sheet8.xml" Id="rId9" /><Relationship Type="http://schemas.openxmlformats.org/officeDocument/2006/relationships/worksheet" Target="worksheets/sheet13.xml" Id="rId14" /><Relationship Type="http://schemas.openxmlformats.org/officeDocument/2006/relationships/worksheet" Target="worksheets/sheet21.xml" Id="rId22" /><Relationship Type="http://schemas.openxmlformats.org/officeDocument/2006/relationships/worksheet" Target="worksheets/sheet26.xml" Id="rId27" /><Relationship Type="http://schemas.openxmlformats.org/officeDocument/2006/relationships/sharedStrings" Target="sharedStrings.xml" Id="rId30" /><Relationship Type="http://schemas.openxmlformats.org/officeDocument/2006/relationships/worksheet" Target="worksheets/sheet7.xml" Id="rId8" /><Relationship Type="http://schemas.openxmlformats.org/officeDocument/2006/relationships/customXml" Target="/customXML/item4.xml" Id="imanage.xml" /></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Prior TRC Test</a:t>
            </a:r>
            <a:r>
              <a:rPr lang="en-US" b="1" baseline="0"/>
              <a:t>- Illustrative Results</a:t>
            </a:r>
            <a:endParaRPr lang="en-US" b="1"/>
          </a:p>
          <a:p>
            <a:pPr>
              <a:defRPr sz="1400" b="0" i="0" u="none" strike="noStrike" kern="1200" spc="0" baseline="0">
                <a:solidFill>
                  <a:schemeClr val="tx1">
                    <a:lumMod val="65000"/>
                    <a:lumOff val="35000"/>
                  </a:schemeClr>
                </a:solidFill>
                <a:latin typeface="+mn-lt"/>
                <a:ea typeface="+mn-ea"/>
                <a:cs typeface="+mn-cs"/>
              </a:defRPr>
            </a:pPr>
            <a:r>
              <a:rPr lang="en-US" b="1"/>
              <a:t>1,000 HP Replacements in 2026, Present</a:t>
            </a:r>
            <a:r>
              <a:rPr lang="en-US" b="1" baseline="0"/>
              <a:t> Value, $ Million, 2% Discount Rate</a:t>
            </a:r>
            <a:endParaRPr lang="en-US" b="1"/>
          </a:p>
        </c:rich>
      </c:tx>
      <c:layout>
        <c:manualLayout>
          <c:xMode val="edge"/>
          <c:yMode val="edge"/>
          <c:x val="0.32440255694120984"/>
          <c:y val="1.7776111234135618E-2"/>
        </c:manualLayout>
      </c:layout>
      <c:overlay val="0"/>
      <c:spPr>
        <a:noFill/>
        <a:ln>
          <a:noFill/>
        </a:ln>
        <a:effectLst/>
      </c:spPr>
    </c:title>
    <c:autoTitleDeleted val="0"/>
    <c:pivotFmts>
      <c:pivotFmt>
        <c:idx val="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2"/>
        <c:spPr>
          <a:solidFill>
            <a:schemeClr val="accent2">
              <a:lumMod val="20000"/>
              <a:lumOff val="80000"/>
            </a:schemeClr>
          </a:solidFill>
          <a:ln>
            <a:noFill/>
          </a:ln>
          <a:effectLst/>
        </c:spPr>
        <c:marker>
          <c:symbol val="none"/>
        </c:marker>
        <c:dLbl>
          <c:idx val="0"/>
          <c:delete val="1"/>
          <c:extLst>
            <c:ext xmlns:c15="http://schemas.microsoft.com/office/drawing/2012/chart" uri="{CE6537A1-D6FC-4f65-9D91-7224C49458BB}"/>
          </c:extLst>
        </c:dLbl>
      </c:pivotFmt>
      <c:pivotFmt>
        <c:idx val="13"/>
        <c:spPr>
          <a:solidFill>
            <a:schemeClr val="accent2">
              <a:lumMod val="50000"/>
            </a:schemeClr>
          </a:solidFill>
          <a:ln>
            <a:noFill/>
          </a:ln>
          <a:effectLst/>
        </c:spPr>
        <c:marker>
          <c:symbol val="none"/>
        </c:marker>
        <c:dLbl>
          <c:idx val="0"/>
          <c:delete val="1"/>
          <c:extLst>
            <c:ext xmlns:c15="http://schemas.microsoft.com/office/drawing/2012/chart" uri="{CE6537A1-D6FC-4f65-9D91-7224C49458BB}"/>
          </c:extLst>
        </c:dLbl>
      </c:pivotFmt>
      <c:pivotFmt>
        <c:idx val="14"/>
        <c:spPr>
          <a:solidFill>
            <a:schemeClr val="accent2">
              <a:lumMod val="75000"/>
            </a:schemeClr>
          </a:solidFill>
          <a:ln>
            <a:noFill/>
          </a:ln>
          <a:effectLst/>
        </c:spPr>
        <c:marker>
          <c:symbol val="none"/>
        </c:marker>
        <c:dLbl>
          <c:idx val="0"/>
          <c:delete val="1"/>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6"/>
        <c:spPr>
          <a:solidFill>
            <a:srgbClr val="FF0000"/>
          </a:solidFill>
          <a:ln>
            <a:noFill/>
          </a:ln>
          <a:effectLst/>
        </c:spPr>
        <c:marker>
          <c:symbol val="none"/>
        </c:marker>
        <c:dLbl>
          <c:idx val="0"/>
          <c:delete val="1"/>
          <c:extLst>
            <c:ext xmlns:c15="http://schemas.microsoft.com/office/drawing/2012/chart" uri="{CE6537A1-D6FC-4f65-9D91-7224C49458BB}"/>
          </c:extLst>
        </c:dLbl>
      </c:pivotFmt>
      <c:pivotFmt>
        <c:idx val="17"/>
        <c:spPr>
          <a:solidFill>
            <a:schemeClr val="accent2">
              <a:lumMod val="75000"/>
            </a:schemeClr>
          </a:solidFill>
          <a:ln>
            <a:noFill/>
          </a:ln>
          <a:effectLst/>
        </c:spPr>
        <c:marker>
          <c:symbol val="none"/>
        </c:marker>
        <c:dLbl>
          <c:idx val="0"/>
          <c:delete val="1"/>
          <c:extLst>
            <c:ext xmlns:c15="http://schemas.microsoft.com/office/drawing/2012/chart" uri="{CE6537A1-D6FC-4f65-9D91-7224C49458BB}"/>
          </c:extLst>
        </c:dLbl>
      </c:pivotFmt>
      <c:pivotFmt>
        <c:idx val="18"/>
        <c:spPr>
          <a:solidFill>
            <a:schemeClr val="accent2">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19"/>
        <c:spPr>
          <a:solidFill>
            <a:schemeClr val="accent6">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20"/>
        <c:spPr>
          <a:solidFill>
            <a:schemeClr val="accent4">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21"/>
        <c:spPr>
          <a:solidFill>
            <a:schemeClr val="accent4">
              <a:lumMod val="20000"/>
              <a:lumOff val="80000"/>
            </a:schemeClr>
          </a:solidFill>
          <a:ln>
            <a:noFill/>
          </a:ln>
          <a:effectLst/>
        </c:spPr>
        <c:marker>
          <c:symbol val="none"/>
        </c:marker>
        <c:dLbl>
          <c:idx val="0"/>
          <c:delete val="1"/>
          <c:extLst>
            <c:ext xmlns:c15="http://schemas.microsoft.com/office/drawing/2012/chart" uri="{CE6537A1-D6FC-4f65-9D91-7224C49458BB}"/>
          </c:extLst>
        </c:dLbl>
      </c:pivotFmt>
      <c:pivotFmt>
        <c:idx val="22"/>
        <c:spPr>
          <a:solidFill>
            <a:schemeClr val="accent4">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23"/>
        <c:spPr>
          <a:solidFill>
            <a:schemeClr val="accent4">
              <a:lumMod val="20000"/>
              <a:lumOff val="80000"/>
            </a:schemeClr>
          </a:solidFill>
          <a:ln>
            <a:noFill/>
          </a:ln>
          <a:effectLst/>
        </c:spPr>
        <c:marker>
          <c:symbol val="none"/>
        </c:marker>
        <c:dLbl>
          <c:idx val="0"/>
          <c:delete val="1"/>
          <c:extLst>
            <c:ext xmlns:c15="http://schemas.microsoft.com/office/drawing/2012/chart" uri="{CE6537A1-D6FC-4f65-9D91-7224C49458BB}"/>
          </c:extLst>
        </c:dLbl>
      </c:pivotFmt>
      <c:pivotFmt>
        <c:idx val="24"/>
        <c:spPr>
          <a:solidFill>
            <a:schemeClr val="accent2">
              <a:lumMod val="20000"/>
              <a:lumOff val="80000"/>
            </a:schemeClr>
          </a:solidFill>
          <a:ln>
            <a:noFill/>
          </a:ln>
          <a:effectLst/>
        </c:spPr>
        <c:marker>
          <c:symbol val="none"/>
        </c:marker>
        <c:dLbl>
          <c:idx val="0"/>
          <c:delete val="1"/>
          <c:extLst>
            <c:ext xmlns:c15="http://schemas.microsoft.com/office/drawing/2012/chart" uri="{CE6537A1-D6FC-4f65-9D91-7224C49458BB}"/>
          </c:extLst>
        </c:dLbl>
      </c:pivotFmt>
      <c:pivotFmt>
        <c:idx val="25"/>
        <c:spPr>
          <a:solidFill>
            <a:schemeClr val="accent6">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26"/>
        <c:spPr>
          <a:solidFill>
            <a:schemeClr val="accent2">
              <a:lumMod val="40000"/>
              <a:lumOff val="60000"/>
            </a:schemeClr>
          </a:solidFill>
          <a:ln>
            <a:noFill/>
          </a:ln>
          <a:effectLst/>
        </c:spPr>
        <c:marker>
          <c:symbol val="none"/>
        </c:marker>
        <c:dLbl>
          <c:idx val="0"/>
          <c:delete val="1"/>
          <c:extLst>
            <c:ext xmlns:c15="http://schemas.microsoft.com/office/drawing/2012/chart" uri="{CE6537A1-D6FC-4f65-9D91-7224C49458BB}"/>
          </c:extLst>
        </c:dLbl>
      </c:pivotFmt>
      <c:pivotFmt>
        <c:idx val="27"/>
        <c:spPr>
          <a:solidFill>
            <a:schemeClr val="accent6">
              <a:lumMod val="40000"/>
              <a:lumOff val="60000"/>
            </a:schemeClr>
          </a:solidFill>
          <a:ln>
            <a:noFill/>
          </a:ln>
          <a:effectLst/>
        </c:spPr>
        <c:marker>
          <c:symbol val="none"/>
        </c:marker>
        <c:dLbl>
          <c:idx val="0"/>
          <c:delete val="1"/>
          <c:extLst>
            <c:ext xmlns:c15="http://schemas.microsoft.com/office/drawing/2012/chart" uri="{CE6537A1-D6FC-4f65-9D91-7224C49458BB}"/>
          </c:extLst>
        </c:dLbl>
      </c:pivotFmt>
      <c:pivotFmt>
        <c:idx val="28"/>
        <c:spPr>
          <a:solidFill>
            <a:schemeClr val="accent5">
              <a:lumMod val="40000"/>
              <a:lumOff val="60000"/>
            </a:schemeClr>
          </a:solidFill>
          <a:ln>
            <a:noFill/>
          </a:ln>
          <a:effectLst/>
        </c:spPr>
        <c:marker>
          <c:symbol val="none"/>
        </c:marker>
        <c:dLbl>
          <c:idx val="0"/>
          <c:delete val="1"/>
          <c:extLst>
            <c:ext xmlns:c15="http://schemas.microsoft.com/office/drawing/2012/chart" uri="{CE6537A1-D6FC-4f65-9D91-7224C49458BB}"/>
          </c:extLst>
        </c:dLbl>
      </c:pivotFmt>
      <c:pivotFmt>
        <c:idx val="29"/>
        <c:spPr>
          <a:solidFill>
            <a:schemeClr val="accent2">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30"/>
        <c:spPr>
          <a:solidFill>
            <a:schemeClr val="accent2">
              <a:lumMod val="75000"/>
            </a:schemeClr>
          </a:solidFill>
          <a:ln>
            <a:noFill/>
          </a:ln>
          <a:effectLst/>
        </c:spPr>
        <c:marker>
          <c:symbol val="none"/>
        </c:marker>
        <c:dLbl>
          <c:idx val="0"/>
          <c:delete val="1"/>
          <c:extLst>
            <c:ext xmlns:c15="http://schemas.microsoft.com/office/drawing/2012/chart" uri="{CE6537A1-D6FC-4f65-9D91-7224C49458BB}"/>
          </c:extLst>
        </c:dLbl>
      </c:pivotFmt>
      <c:pivotFmt>
        <c:idx val="31"/>
        <c:spPr>
          <a:solidFill>
            <a:schemeClr val="accent2">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32"/>
        <c:spPr>
          <a:solidFill>
            <a:schemeClr val="accent2"/>
          </a:solidFill>
          <a:ln>
            <a:noFill/>
          </a:ln>
          <a:effectLst/>
        </c:spPr>
        <c:marker>
          <c:symbol val="none"/>
        </c:marker>
        <c:dLbl>
          <c:idx val="0"/>
          <c:delete val="1"/>
          <c:extLst>
            <c:ext xmlns:c15="http://schemas.microsoft.com/office/drawing/2012/chart" uri="{CE6537A1-D6FC-4f65-9D91-7224C49458BB}"/>
          </c:extLst>
        </c:dLbl>
      </c:pivotFmt>
      <c:pivotFmt>
        <c:idx val="33"/>
        <c:spPr>
          <a:solidFill>
            <a:schemeClr val="accent2">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34"/>
        <c:spPr>
          <a:solidFill>
            <a:schemeClr val="accent2"/>
          </a:solidFill>
          <a:ln>
            <a:noFill/>
          </a:ln>
          <a:effectLst/>
        </c:spPr>
        <c:marker>
          <c:symbol val="none"/>
        </c:marker>
        <c:dLbl>
          <c:idx val="0"/>
          <c:delete val="1"/>
          <c:extLst>
            <c:ext xmlns:c15="http://schemas.microsoft.com/office/drawing/2012/chart" uri="{CE6537A1-D6FC-4f65-9D91-7224C49458BB}"/>
          </c:extLst>
        </c:dLbl>
      </c:pivotFmt>
      <c:pivotFmt>
        <c:idx val="35"/>
        <c:spPr>
          <a:solidFill>
            <a:schemeClr val="accent2">
              <a:lumMod val="20000"/>
              <a:lumOff val="80000"/>
            </a:schemeClr>
          </a:solidFill>
          <a:ln>
            <a:noFill/>
          </a:ln>
          <a:effectLst/>
        </c:spPr>
        <c:marker>
          <c:symbol val="none"/>
        </c:marker>
        <c:dLbl>
          <c:idx val="0"/>
          <c:delete val="1"/>
          <c:extLst>
            <c:ext xmlns:c15="http://schemas.microsoft.com/office/drawing/2012/chart" uri="{CE6537A1-D6FC-4f65-9D91-7224C49458BB}"/>
          </c:extLst>
        </c:dLbl>
      </c:pivotFmt>
      <c:pivotFmt>
        <c:idx val="36"/>
        <c:spPr>
          <a:solidFill>
            <a:schemeClr val="accent6">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37"/>
        <c:spPr>
          <a:solidFill>
            <a:schemeClr val="accent4">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38"/>
        <c:spPr>
          <a:solidFill>
            <a:schemeClr val="accent4">
              <a:lumMod val="20000"/>
              <a:lumOff val="80000"/>
            </a:schemeClr>
          </a:solidFill>
          <a:ln>
            <a:noFill/>
          </a:ln>
          <a:effectLst/>
        </c:spPr>
        <c:marker>
          <c:symbol val="none"/>
        </c:marker>
        <c:dLbl>
          <c:idx val="0"/>
          <c:delete val="1"/>
          <c:extLst>
            <c:ext xmlns:c15="http://schemas.microsoft.com/office/drawing/2012/chart" uri="{CE6537A1-D6FC-4f65-9D91-7224C49458BB}"/>
          </c:extLst>
        </c:dLbl>
      </c:pivotFmt>
      <c:pivotFmt>
        <c:idx val="39"/>
        <c:spPr>
          <a:solidFill>
            <a:schemeClr val="accent2">
              <a:lumMod val="40000"/>
              <a:lumOff val="60000"/>
            </a:schemeClr>
          </a:solidFill>
          <a:ln>
            <a:noFill/>
          </a:ln>
          <a:effectLst/>
        </c:spPr>
        <c:marker>
          <c:symbol val="none"/>
        </c:marker>
        <c:dLbl>
          <c:idx val="0"/>
          <c:delete val="1"/>
          <c:extLst>
            <c:ext xmlns:c15="http://schemas.microsoft.com/office/drawing/2012/chart" uri="{CE6537A1-D6FC-4f65-9D91-7224C49458BB}"/>
          </c:extLst>
        </c:dLbl>
      </c:pivotFmt>
      <c:pivotFmt>
        <c:idx val="40"/>
        <c:spPr>
          <a:solidFill>
            <a:schemeClr val="accent6">
              <a:lumMod val="40000"/>
              <a:lumOff val="60000"/>
            </a:schemeClr>
          </a:solidFill>
          <a:ln>
            <a:noFill/>
          </a:ln>
          <a:effectLst/>
        </c:spPr>
        <c:marker>
          <c:symbol val="none"/>
        </c:marker>
        <c:dLbl>
          <c:idx val="0"/>
          <c:delete val="1"/>
          <c:extLst>
            <c:ext xmlns:c15="http://schemas.microsoft.com/office/drawing/2012/chart" uri="{CE6537A1-D6FC-4f65-9D91-7224C49458BB}"/>
          </c:extLst>
        </c:dLbl>
      </c:pivotFmt>
      <c:pivotFmt>
        <c:idx val="41"/>
        <c:spPr>
          <a:solidFill>
            <a:schemeClr val="accent5">
              <a:lumMod val="40000"/>
              <a:lumOff val="60000"/>
            </a:schemeClr>
          </a:solidFill>
          <a:ln>
            <a:noFill/>
          </a:ln>
          <a:effectLst/>
        </c:spPr>
        <c:marker>
          <c:symbol val="none"/>
        </c:marker>
        <c:dLbl>
          <c:idx val="0"/>
          <c:delete val="1"/>
          <c:extLst>
            <c:ext xmlns:c15="http://schemas.microsoft.com/office/drawing/2012/chart" uri="{CE6537A1-D6FC-4f65-9D91-7224C49458BB}"/>
          </c:extLst>
        </c:dLbl>
      </c:pivotFmt>
      <c:pivotFmt>
        <c:idx val="42"/>
        <c:spPr>
          <a:solidFill>
            <a:schemeClr val="accent2">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43"/>
        <c:spPr>
          <a:solidFill>
            <a:schemeClr val="accent2">
              <a:lumMod val="75000"/>
            </a:schemeClr>
          </a:solidFill>
          <a:ln>
            <a:noFill/>
          </a:ln>
          <a:effectLst/>
        </c:spPr>
        <c:marker>
          <c:symbol val="none"/>
        </c:marker>
        <c:dLbl>
          <c:idx val="0"/>
          <c:delete val="1"/>
          <c:extLst>
            <c:ext xmlns:c15="http://schemas.microsoft.com/office/drawing/2012/chart" uri="{CE6537A1-D6FC-4f65-9D91-7224C49458BB}"/>
          </c:extLst>
        </c:dLbl>
      </c:pivotFmt>
      <c:pivotFmt>
        <c:idx val="44"/>
        <c:spPr>
          <a:solidFill>
            <a:schemeClr val="accent2">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45"/>
        <c:spPr>
          <a:solidFill>
            <a:schemeClr val="accent2"/>
          </a:solidFill>
          <a:ln>
            <a:noFill/>
          </a:ln>
          <a:effectLst/>
        </c:spPr>
        <c:marker>
          <c:symbol val="none"/>
        </c:marker>
        <c:dLbl>
          <c:idx val="0"/>
          <c:delete val="1"/>
          <c:extLst>
            <c:ext xmlns:c15="http://schemas.microsoft.com/office/drawing/2012/chart" uri="{CE6537A1-D6FC-4f65-9D91-7224C49458BB}"/>
          </c:extLst>
        </c:dLbl>
      </c:pivotFmt>
      <c:pivotFmt>
        <c:idx val="46"/>
        <c:spPr>
          <a:solidFill>
            <a:schemeClr val="accent2">
              <a:lumMod val="20000"/>
              <a:lumOff val="80000"/>
            </a:schemeClr>
          </a:solidFill>
          <a:ln>
            <a:noFill/>
          </a:ln>
          <a:effectLst/>
        </c:spPr>
        <c:marker>
          <c:symbol val="none"/>
        </c:marker>
        <c:dLbl>
          <c:idx val="0"/>
          <c:delete val="1"/>
          <c:extLst>
            <c:ext xmlns:c15="http://schemas.microsoft.com/office/drawing/2012/chart" uri="{CE6537A1-D6FC-4f65-9D91-7224C49458BB}"/>
          </c:extLst>
        </c:dLbl>
      </c:pivotFmt>
      <c:pivotFmt>
        <c:idx val="47"/>
        <c:spPr>
          <a:solidFill>
            <a:schemeClr val="accent6">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48"/>
        <c:spPr>
          <a:solidFill>
            <a:schemeClr val="accent4">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49"/>
        <c:spPr>
          <a:solidFill>
            <a:schemeClr val="accent4">
              <a:lumMod val="20000"/>
              <a:lumOff val="80000"/>
            </a:schemeClr>
          </a:solidFill>
          <a:ln>
            <a:noFill/>
          </a:ln>
          <a:effectLst/>
        </c:spPr>
        <c:marker>
          <c:symbol val="none"/>
        </c:marker>
        <c:dLbl>
          <c:idx val="0"/>
          <c:delete val="1"/>
          <c:extLst>
            <c:ext xmlns:c15="http://schemas.microsoft.com/office/drawing/2012/chart" uri="{CE6537A1-D6FC-4f65-9D91-7224C49458BB}"/>
          </c:extLst>
        </c:dLbl>
      </c:pivotFmt>
      <c:pivotFmt>
        <c:idx val="50"/>
        <c:spPr>
          <a:solidFill>
            <a:schemeClr val="accent1">
              <a:lumMod val="60000"/>
              <a:lumOff val="40000"/>
            </a:schemeClr>
          </a:solidFill>
          <a:ln>
            <a:noFill/>
          </a:ln>
          <a:effectLst/>
        </c:spPr>
        <c:marker>
          <c:symbol val="none"/>
        </c:marker>
        <c:dLbl>
          <c:idx val="0"/>
          <c:delete val="1"/>
          <c:extLst>
            <c:ext xmlns:c15="http://schemas.microsoft.com/office/drawing/2012/chart" uri="{CE6537A1-D6FC-4f65-9D91-7224C49458BB}"/>
          </c:extLst>
        </c:dLbl>
      </c:pivotFmt>
      <c:pivotFmt>
        <c:idx val="51"/>
        <c:spPr>
          <a:solidFill>
            <a:schemeClr val="accent6">
              <a:lumMod val="40000"/>
              <a:lumOff val="60000"/>
            </a:schemeClr>
          </a:solidFill>
          <a:ln>
            <a:noFill/>
          </a:ln>
          <a:effectLst/>
        </c:spPr>
        <c:marker>
          <c:symbol val="none"/>
        </c:marker>
        <c:dLbl>
          <c:idx val="0"/>
          <c:delete val="1"/>
          <c:extLst>
            <c:ext xmlns:c15="http://schemas.microsoft.com/office/drawing/2012/chart" uri="{CE6537A1-D6FC-4f65-9D91-7224C49458BB}"/>
          </c:extLst>
        </c:dLbl>
      </c:pivotFmt>
      <c:pivotFmt>
        <c:idx val="52"/>
        <c:spPr>
          <a:solidFill>
            <a:schemeClr val="accent5">
              <a:lumMod val="40000"/>
              <a:lumOff val="60000"/>
            </a:schemeClr>
          </a:solidFill>
          <a:ln>
            <a:noFill/>
          </a:ln>
          <a:effectLst/>
        </c:spPr>
        <c:marker>
          <c:symbol val="none"/>
        </c:marker>
        <c:dLbl>
          <c:idx val="0"/>
          <c:delete val="1"/>
          <c:extLst>
            <c:ext xmlns:c15="http://schemas.microsoft.com/office/drawing/2012/chart" uri="{CE6537A1-D6FC-4f65-9D91-7224C49458BB}"/>
          </c:extLst>
        </c:dLbl>
      </c:pivotFmt>
      <c:pivotFmt>
        <c:idx val="53"/>
        <c:spPr>
          <a:solidFill>
            <a:schemeClr val="tx2">
              <a:lumMod val="50000"/>
              <a:lumOff val="50000"/>
            </a:schemeClr>
          </a:solidFill>
          <a:ln>
            <a:noFill/>
          </a:ln>
          <a:effectLst/>
        </c:spPr>
        <c:marker>
          <c:symbol val="none"/>
        </c:marker>
        <c:dLbl>
          <c:idx val="0"/>
          <c:delete val="1"/>
          <c:extLst>
            <c:ext xmlns:c15="http://schemas.microsoft.com/office/drawing/2012/chart" uri="{CE6537A1-D6FC-4f65-9D91-7224C49458BB}"/>
          </c:extLst>
        </c:dLbl>
      </c:pivotFmt>
      <c:pivotFmt>
        <c:idx val="54"/>
        <c:spPr>
          <a:solidFill>
            <a:schemeClr val="accent2">
              <a:lumMod val="75000"/>
            </a:schemeClr>
          </a:solidFill>
          <a:ln>
            <a:noFill/>
          </a:ln>
          <a:effectLst/>
        </c:spPr>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4.5370286863921742E-2"/>
          <c:y val="7.163562066122614E-2"/>
          <c:w val="0.73252655191356897"/>
          <c:h val="0.82777624395828497"/>
        </c:manualLayout>
      </c:layout>
      <c:barChart>
        <c:barDir val="col"/>
        <c:grouping val="stacked"/>
        <c:varyColors val="0"/>
        <c:ser>
          <c:idx val="0"/>
          <c:order val="0"/>
          <c:tx>
            <c:v>Series1</c:v>
          </c:tx>
          <c:spPr>
            <a:solidFill>
              <a:schemeClr val="accent2">
                <a:lumMod val="60000"/>
                <a:lumOff val="40000"/>
              </a:schemeClr>
            </a:solidFill>
            <a:ln>
              <a:noFill/>
            </a:ln>
            <a:effectLst/>
          </c:spPr>
          <c:invertIfNegative val="0"/>
          <c:cat>
            <c:strLit>
              <c:ptCount val="3"/>
              <c:pt idx="0">
                <c:v>Elec Resist</c:v>
              </c:pt>
              <c:pt idx="1">
                <c:v>FO</c:v>
              </c:pt>
              <c:pt idx="2">
                <c:v>NG</c:v>
              </c:pt>
            </c:strLit>
          </c:cat>
          <c:val>
            <c:numLit>
              <c:formatCode>General</c:formatCode>
              <c:ptCount val="3"/>
              <c:pt idx="0">
                <c:v>1.8596901287165746</c:v>
              </c:pt>
              <c:pt idx="1">
                <c:v>-1.86</c:v>
              </c:pt>
              <c:pt idx="2">
                <c:v>-1.86</c:v>
              </c:pt>
            </c:numLit>
          </c:val>
          <c:extLst>
            <c:ext xmlns:c16="http://schemas.microsoft.com/office/drawing/2014/chart" uri="{C3380CC4-5D6E-409C-BE32-E72D297353CC}">
              <c16:uniqueId val="{00000000-EDC5-4C32-ADA4-782B08E5D645}"/>
            </c:ext>
          </c:extLst>
        </c:ser>
        <c:ser>
          <c:idx val="1"/>
          <c:order val="1"/>
          <c:tx>
            <c:v>Series2</c:v>
          </c:tx>
          <c:spPr>
            <a:solidFill>
              <a:schemeClr val="accent2"/>
            </a:solidFill>
            <a:ln>
              <a:noFill/>
            </a:ln>
            <a:effectLst/>
          </c:spPr>
          <c:invertIfNegative val="0"/>
          <c:cat>
            <c:strLit>
              <c:ptCount val="3"/>
              <c:pt idx="0">
                <c:v>Elec Resist</c:v>
              </c:pt>
              <c:pt idx="1">
                <c:v>FO</c:v>
              </c:pt>
              <c:pt idx="2">
                <c:v>NG</c:v>
              </c:pt>
            </c:strLit>
          </c:cat>
          <c:val>
            <c:numLit>
              <c:formatCode>General</c:formatCode>
              <c:ptCount val="3"/>
              <c:pt idx="0">
                <c:v>12.842104682751229</c:v>
              </c:pt>
              <c:pt idx="1">
                <c:v>-8.56</c:v>
              </c:pt>
              <c:pt idx="2">
                <c:v>-8.56</c:v>
              </c:pt>
            </c:numLit>
          </c:val>
          <c:extLst>
            <c:ext xmlns:c16="http://schemas.microsoft.com/office/drawing/2014/chart" uri="{C3380CC4-5D6E-409C-BE32-E72D297353CC}">
              <c16:uniqueId val="{00000001-B10D-4E0D-96B9-21087FA155BF}"/>
            </c:ext>
          </c:extLst>
        </c:ser>
        <c:ser>
          <c:idx val="2"/>
          <c:order val="2"/>
          <c:tx>
            <c:v>Series3</c:v>
          </c:tx>
          <c:spPr>
            <a:solidFill>
              <a:schemeClr val="accent2">
                <a:lumMod val="20000"/>
                <a:lumOff val="80000"/>
              </a:schemeClr>
            </a:solidFill>
            <a:ln>
              <a:noFill/>
            </a:ln>
            <a:effectLst/>
          </c:spPr>
          <c:invertIfNegative val="0"/>
          <c:cat>
            <c:strLit>
              <c:ptCount val="3"/>
              <c:pt idx="0">
                <c:v>Elec Resist</c:v>
              </c:pt>
              <c:pt idx="1">
                <c:v>FO</c:v>
              </c:pt>
              <c:pt idx="2">
                <c:v>NG</c:v>
              </c:pt>
            </c:strLit>
          </c:cat>
          <c:val>
            <c:numLit>
              <c:formatCode>General</c:formatCode>
              <c:ptCount val="3"/>
              <c:pt idx="0">
                <c:v>8.7034989436979959</c:v>
              </c:pt>
              <c:pt idx="1">
                <c:v>-8.6999999999999993</c:v>
              </c:pt>
              <c:pt idx="2">
                <c:v>-8.6999999999999993</c:v>
              </c:pt>
            </c:numLit>
          </c:val>
          <c:extLst>
            <c:ext xmlns:c16="http://schemas.microsoft.com/office/drawing/2014/chart" uri="{C3380CC4-5D6E-409C-BE32-E72D297353CC}">
              <c16:uniqueId val="{00000002-B10D-4E0D-96B9-21087FA155BF}"/>
            </c:ext>
          </c:extLst>
        </c:ser>
        <c:ser>
          <c:idx val="3"/>
          <c:order val="3"/>
          <c:tx>
            <c:v>Series4</c:v>
          </c:tx>
          <c:spPr>
            <a:solidFill>
              <a:schemeClr val="accent4">
                <a:lumMod val="60000"/>
                <a:lumOff val="40000"/>
              </a:schemeClr>
            </a:solidFill>
            <a:ln>
              <a:noFill/>
            </a:ln>
            <a:effectLst/>
          </c:spPr>
          <c:invertIfNegative val="0"/>
          <c:cat>
            <c:strLit>
              <c:ptCount val="3"/>
              <c:pt idx="0">
                <c:v>Elec Resist</c:v>
              </c:pt>
              <c:pt idx="1">
                <c:v>FO</c:v>
              </c:pt>
              <c:pt idx="2">
                <c:v>NG</c:v>
              </c:pt>
            </c:strLit>
          </c:cat>
          <c:val>
            <c:numLit>
              <c:formatCode>General</c:formatCode>
              <c:ptCount val="3"/>
              <c:pt idx="0">
                <c:v>-4.8</c:v>
              </c:pt>
              <c:pt idx="1">
                <c:v>-4.8</c:v>
              </c:pt>
              <c:pt idx="2">
                <c:v>-4.8</c:v>
              </c:pt>
            </c:numLit>
          </c:val>
          <c:extLst>
            <c:ext xmlns:c16="http://schemas.microsoft.com/office/drawing/2014/chart" uri="{C3380CC4-5D6E-409C-BE32-E72D297353CC}">
              <c16:uniqueId val="{00000003-B10D-4E0D-96B9-21087FA155BF}"/>
            </c:ext>
          </c:extLst>
        </c:ser>
        <c:ser>
          <c:idx val="4"/>
          <c:order val="4"/>
          <c:tx>
            <c:v>Series5</c:v>
          </c:tx>
          <c:spPr>
            <a:solidFill>
              <a:schemeClr val="accent1">
                <a:lumMod val="60000"/>
                <a:lumOff val="40000"/>
              </a:schemeClr>
            </a:solidFill>
            <a:ln>
              <a:noFill/>
            </a:ln>
            <a:effectLst/>
          </c:spPr>
          <c:invertIfNegative val="0"/>
          <c:cat>
            <c:strLit>
              <c:ptCount val="3"/>
              <c:pt idx="0">
                <c:v>Elec Resist</c:v>
              </c:pt>
              <c:pt idx="1">
                <c:v>FO</c:v>
              </c:pt>
              <c:pt idx="2">
                <c:v>NG</c:v>
              </c:pt>
            </c:strLit>
          </c:cat>
          <c:val>
            <c:numLit>
              <c:formatCode>General</c:formatCode>
              <c:ptCount val="3"/>
              <c:pt idx="0">
                <c:v>-3.2</c:v>
              </c:pt>
              <c:pt idx="1">
                <c:v>-3.2</c:v>
              </c:pt>
              <c:pt idx="2">
                <c:v>-3.2</c:v>
              </c:pt>
            </c:numLit>
          </c:val>
          <c:extLst>
            <c:ext xmlns:c16="http://schemas.microsoft.com/office/drawing/2014/chart" uri="{C3380CC4-5D6E-409C-BE32-E72D297353CC}">
              <c16:uniqueId val="{00000004-B10D-4E0D-96B9-21087FA155BF}"/>
            </c:ext>
          </c:extLst>
        </c:ser>
        <c:ser>
          <c:idx val="5"/>
          <c:order val="5"/>
          <c:tx>
            <c:v>Series6</c:v>
          </c:tx>
          <c:spPr>
            <a:solidFill>
              <a:schemeClr val="accent6">
                <a:lumMod val="40000"/>
                <a:lumOff val="60000"/>
              </a:schemeClr>
            </a:solidFill>
            <a:ln>
              <a:noFill/>
            </a:ln>
            <a:effectLst/>
          </c:spPr>
          <c:invertIfNegative val="0"/>
          <c:cat>
            <c:strLit>
              <c:ptCount val="3"/>
              <c:pt idx="0">
                <c:v>Elec Resist</c:v>
              </c:pt>
              <c:pt idx="1">
                <c:v>FO</c:v>
              </c:pt>
              <c:pt idx="2">
                <c:v>NG</c:v>
              </c:pt>
            </c:strLit>
          </c:cat>
          <c:val>
            <c:numLit>
              <c:formatCode>General</c:formatCode>
              <c:ptCount val="3"/>
              <c:pt idx="0">
                <c:v>1.1691775332480132</c:v>
              </c:pt>
              <c:pt idx="1">
                <c:v>-0.77945168883200888</c:v>
              </c:pt>
              <c:pt idx="2">
                <c:v>-0.77945168883200888</c:v>
              </c:pt>
            </c:numLit>
          </c:val>
          <c:extLst>
            <c:ext xmlns:c16="http://schemas.microsoft.com/office/drawing/2014/chart" uri="{C3380CC4-5D6E-409C-BE32-E72D297353CC}">
              <c16:uniqueId val="{00000005-B10D-4E0D-96B9-21087FA155BF}"/>
            </c:ext>
          </c:extLst>
        </c:ser>
        <c:ser>
          <c:idx val="6"/>
          <c:order val="6"/>
          <c:tx>
            <c:v>Series7</c:v>
          </c:tx>
          <c:spPr>
            <a:solidFill>
              <a:schemeClr val="tx2">
                <a:lumMod val="50000"/>
                <a:lumOff val="50000"/>
              </a:schemeClr>
            </a:solidFill>
            <a:ln>
              <a:noFill/>
            </a:ln>
            <a:effectLst/>
          </c:spPr>
          <c:invertIfNegative val="0"/>
          <c:cat>
            <c:strLit>
              <c:ptCount val="3"/>
              <c:pt idx="0">
                <c:v>Elec Resist</c:v>
              </c:pt>
              <c:pt idx="1">
                <c:v>FO</c:v>
              </c:pt>
              <c:pt idx="2">
                <c:v>NG</c:v>
              </c:pt>
            </c:strLit>
          </c:cat>
          <c:val>
            <c:numLit>
              <c:formatCode>General</c:formatCode>
              <c:ptCount val="3"/>
              <c:pt idx="0">
                <c:v>-1.9</c:v>
              </c:pt>
              <c:pt idx="1">
                <c:v>-1.9</c:v>
              </c:pt>
              <c:pt idx="2">
                <c:v>-1.9</c:v>
              </c:pt>
            </c:numLit>
          </c:val>
          <c:extLst>
            <c:ext xmlns:c16="http://schemas.microsoft.com/office/drawing/2014/chart" uri="{C3380CC4-5D6E-409C-BE32-E72D297353CC}">
              <c16:uniqueId val="{00000006-B10D-4E0D-96B9-21087FA155BF}"/>
            </c:ext>
          </c:extLst>
        </c:ser>
        <c:ser>
          <c:idx val="7"/>
          <c:order val="7"/>
          <c:tx>
            <c:v>Series8</c:v>
          </c:tx>
          <c:spPr>
            <a:solidFill>
              <a:schemeClr val="accent2">
                <a:lumMod val="75000"/>
              </a:schemeClr>
            </a:solidFill>
            <a:ln>
              <a:noFill/>
            </a:ln>
            <a:effectLst/>
          </c:spPr>
          <c:invertIfNegative val="0"/>
          <c:cat>
            <c:strLit>
              <c:ptCount val="3"/>
              <c:pt idx="0">
                <c:v>Elec Resist</c:v>
              </c:pt>
              <c:pt idx="1">
                <c:v>FO</c:v>
              </c:pt>
              <c:pt idx="2">
                <c:v>NG</c:v>
              </c:pt>
            </c:strLit>
          </c:cat>
          <c:val>
            <c:numLit>
              <c:formatCode>General</c:formatCode>
              <c:ptCount val="3"/>
              <c:pt idx="0">
                <c:v>1.8596901287165746</c:v>
              </c:pt>
              <c:pt idx="1">
                <c:v>-1.86</c:v>
              </c:pt>
              <c:pt idx="2">
                <c:v>-1.86</c:v>
              </c:pt>
            </c:numLit>
          </c:val>
          <c:extLst>
            <c:ext xmlns:c16="http://schemas.microsoft.com/office/drawing/2014/chart" uri="{C3380CC4-5D6E-409C-BE32-E72D297353CC}">
              <c16:uniqueId val="{00000007-B10D-4E0D-96B9-21087FA155BF}"/>
            </c:ext>
          </c:extLst>
        </c:ser>
        <c:dLbls>
          <c:showLegendKey val="0"/>
          <c:showVal val="0"/>
          <c:showCatName val="0"/>
          <c:showSerName val="0"/>
          <c:showPercent val="0"/>
          <c:showBubbleSize val="0"/>
        </c:dLbls>
        <c:gapWidth val="219"/>
        <c:overlap val="100"/>
        <c:axId val="764496559"/>
        <c:axId val="764501359"/>
      </c:barChart>
      <c:catAx>
        <c:axId val="764496559"/>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4501359"/>
        <c:crosses val="autoZero"/>
        <c:auto val="1"/>
        <c:lblAlgn val="ctr"/>
        <c:lblOffset val="100"/>
        <c:noMultiLvlLbl val="0"/>
      </c:catAx>
      <c:valAx>
        <c:axId val="76450135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4496559"/>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Case 1</a:t>
            </a:r>
            <a:r>
              <a:rPr lang="en-US"/>
              <a:t>: PV - Not IQ/Target</a:t>
            </a:r>
          </a:p>
        </c:rich>
      </c:tx>
      <c:layout>
        <c:manualLayout>
          <c:xMode val="edge"/>
          <c:yMode val="edge"/>
          <c:x val="0.29428455818022747"/>
          <c:y val="2.314814814814814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608092738407696"/>
          <c:y val="0.18097222222222226"/>
          <c:w val="0.83058573928258972"/>
          <c:h val="0.6704013560804899"/>
        </c:manualLayout>
      </c:layout>
      <c:barChart>
        <c:barDir val="col"/>
        <c:grouping val="clustered"/>
        <c:varyColors val="0"/>
        <c:ser>
          <c:idx val="0"/>
          <c:order val="0"/>
          <c:tx>
            <c:strRef>
              <c:f>'Solar + Storage'!$Q$24</c:f>
              <c:strCache>
                <c:ptCount val="1"/>
                <c:pt idx="0">
                  <c:v>Case 1: PV - Not IQ/Target</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'Solar + Storage'!$P$25:$P$32</c:f>
              <c:strCache>
                <c:ptCount val="8"/>
                <c:pt idx="0">
                  <c:v>Energy AC</c:v>
                </c:pt>
                <c:pt idx="1">
                  <c:v>Capacity AC</c:v>
                </c:pt>
                <c:pt idx="2">
                  <c:v>Program Costs</c:v>
                </c:pt>
                <c:pt idx="3">
                  <c:v>GHG</c:v>
                </c:pt>
                <c:pt idx="4">
                  <c:v>Other Air Poll.</c:v>
                </c:pt>
                <c:pt idx="5">
                  <c:v>Host Cust Costs</c:v>
                </c:pt>
                <c:pt idx="6">
                  <c:v>Host Cust Ben</c:v>
                </c:pt>
                <c:pt idx="7">
                  <c:v>Total Net</c:v>
                </c:pt>
              </c:strCache>
            </c:strRef>
          </c:cat>
          <c:val>
            <c:numRef>
              <c:f>'Solar + Storage'!$Q$25:$Q$32</c:f>
              <c:numCache>
                <c:formatCode>"$"#,##0_);[Red]\("$"#,##0\)</c:formatCode>
                <c:ptCount val="8"/>
                <c:pt idx="0">
                  <c:v>9560.7752590895307</c:v>
                </c:pt>
                <c:pt idx="1">
                  <c:v>0</c:v>
                </c:pt>
                <c:pt idx="2">
                  <c:v>-7647.058823529419</c:v>
                </c:pt>
                <c:pt idx="3">
                  <c:v>8624.7753612246652</c:v>
                </c:pt>
                <c:pt idx="4">
                  <c:v>663.22495040530953</c:v>
                </c:pt>
                <c:pt idx="5">
                  <c:v>-9068.6274509804007</c:v>
                </c:pt>
                <c:pt idx="6">
                  <c:v>750</c:v>
                </c:pt>
                <c:pt idx="7">
                  <c:v>2883.0892962096841</c:v>
                </c:pt>
              </c:numCache>
            </c:numRef>
          </c:val>
          <c:extLst>
            <c:ext xmlns:c16="http://schemas.microsoft.com/office/drawing/2014/chart" uri="{C3380CC4-5D6E-409C-BE32-E72D297353CC}">
              <c16:uniqueId val="{00000000-9920-4B8E-965C-77B7E0DBF72B}"/>
            </c:ext>
          </c:extLst>
        </c:ser>
        <c:dLbls>
          <c:showLegendKey val="0"/>
          <c:showVal val="0"/>
          <c:showCatName val="0"/>
          <c:showSerName val="0"/>
          <c:showPercent val="0"/>
          <c:showBubbleSize val="0"/>
        </c:dLbls>
        <c:gapWidth val="219"/>
        <c:overlap val="-27"/>
        <c:axId val="214722016"/>
        <c:axId val="214738816"/>
      </c:barChart>
      <c:catAx>
        <c:axId val="2147220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38816"/>
        <c:crosses val="autoZero"/>
        <c:auto val="1"/>
        <c:lblAlgn val="ctr"/>
        <c:lblOffset val="100"/>
        <c:noMultiLvlLbl val="0"/>
      </c:catAx>
      <c:valAx>
        <c:axId val="21473881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220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Case 2</a:t>
            </a:r>
            <a:r>
              <a:rPr lang="en-US"/>
              <a:t>: PV IQ/Priority</a:t>
            </a:r>
            <a:r>
              <a:rPr lang="en-US" baseline="0"/>
              <a:t> Market Segment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885870516185478"/>
          <c:y val="0.17634259259259263"/>
          <c:w val="0.83058573928258972"/>
          <c:h val="0.6704013560804899"/>
        </c:manualLayout>
      </c:layout>
      <c:barChart>
        <c:barDir val="col"/>
        <c:grouping val="clustered"/>
        <c:varyColors val="0"/>
        <c:ser>
          <c:idx val="0"/>
          <c:order val="0"/>
          <c:tx>
            <c:strRef>
              <c:f>'Solar + Storage'!$Q$36</c:f>
              <c:strCache>
                <c:ptCount val="1"/>
                <c:pt idx="0">
                  <c:v>Case 2: PV IQ/Target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'Solar + Storage'!$P$37:$P$44</c:f>
              <c:strCache>
                <c:ptCount val="8"/>
                <c:pt idx="0">
                  <c:v>Energy AC</c:v>
                </c:pt>
                <c:pt idx="1">
                  <c:v>Capacity AC</c:v>
                </c:pt>
                <c:pt idx="2">
                  <c:v>Program Costs</c:v>
                </c:pt>
                <c:pt idx="3">
                  <c:v>GHG</c:v>
                </c:pt>
                <c:pt idx="4">
                  <c:v>Other Air Poll.</c:v>
                </c:pt>
                <c:pt idx="5">
                  <c:v>Host Cust Costs</c:v>
                </c:pt>
                <c:pt idx="6">
                  <c:v>Host Cust Ben</c:v>
                </c:pt>
                <c:pt idx="7">
                  <c:v>Total Net</c:v>
                </c:pt>
              </c:strCache>
            </c:strRef>
          </c:cat>
          <c:val>
            <c:numRef>
              <c:f>'Solar + Storage'!$Q$37:$Q$44</c:f>
              <c:numCache>
                <c:formatCode>"$"#,##0_);[Red]\("$"#,##0\)</c:formatCode>
                <c:ptCount val="8"/>
                <c:pt idx="0">
                  <c:v>9560.7752590895307</c:v>
                </c:pt>
                <c:pt idx="1">
                  <c:v>0</c:v>
                </c:pt>
                <c:pt idx="2">
                  <c:v>-7647.058823529419</c:v>
                </c:pt>
                <c:pt idx="3">
                  <c:v>8624.7753612246652</c:v>
                </c:pt>
                <c:pt idx="4">
                  <c:v>663.22495040530953</c:v>
                </c:pt>
                <c:pt idx="5">
                  <c:v>-9068.6274509804007</c:v>
                </c:pt>
                <c:pt idx="6">
                  <c:v>1500</c:v>
                </c:pt>
                <c:pt idx="7">
                  <c:v>3633.0892962096841</c:v>
                </c:pt>
              </c:numCache>
            </c:numRef>
          </c:val>
          <c:extLst>
            <c:ext xmlns:c16="http://schemas.microsoft.com/office/drawing/2014/chart" uri="{C3380CC4-5D6E-409C-BE32-E72D297353CC}">
              <c16:uniqueId val="{00000000-BAAC-46C0-90C3-2FBAA16668F7}"/>
            </c:ext>
          </c:extLst>
        </c:ser>
        <c:dLbls>
          <c:showLegendKey val="0"/>
          <c:showVal val="0"/>
          <c:showCatName val="0"/>
          <c:showSerName val="0"/>
          <c:showPercent val="0"/>
          <c:showBubbleSize val="0"/>
        </c:dLbls>
        <c:gapWidth val="219"/>
        <c:overlap val="-27"/>
        <c:axId val="214722016"/>
        <c:axId val="214738816"/>
      </c:barChart>
      <c:catAx>
        <c:axId val="2147220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38816"/>
        <c:crosses val="autoZero"/>
        <c:auto val="1"/>
        <c:lblAlgn val="ctr"/>
        <c:lblOffset val="100"/>
        <c:noMultiLvlLbl val="0"/>
      </c:catAx>
      <c:valAx>
        <c:axId val="21473881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220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Case 3</a:t>
            </a:r>
            <a:r>
              <a:rPr lang="en-US"/>
              <a:t>: PV+Batt -Not IQ/Target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885870516185478"/>
          <c:y val="0.17634259259259263"/>
          <c:w val="0.83058573928258972"/>
          <c:h val="0.6704013560804899"/>
        </c:manualLayout>
      </c:layout>
      <c:barChart>
        <c:barDir val="col"/>
        <c:grouping val="clustered"/>
        <c:varyColors val="0"/>
        <c:ser>
          <c:idx val="0"/>
          <c:order val="0"/>
          <c:tx>
            <c:strRef>
              <c:f>'Solar + Storage'!$Q$49</c:f>
              <c:strCache>
                <c:ptCount val="1"/>
                <c:pt idx="0">
                  <c:v>Case 3: PV+Batt -Not IQ/Target</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'Solar + Storage'!$P$50:$P$57</c:f>
              <c:strCache>
                <c:ptCount val="8"/>
                <c:pt idx="0">
                  <c:v>Energy AC</c:v>
                </c:pt>
                <c:pt idx="1">
                  <c:v>Capacity AC</c:v>
                </c:pt>
                <c:pt idx="2">
                  <c:v>Program Costs</c:v>
                </c:pt>
                <c:pt idx="3">
                  <c:v>GHG</c:v>
                </c:pt>
                <c:pt idx="4">
                  <c:v>Other Air Poll.</c:v>
                </c:pt>
                <c:pt idx="5">
                  <c:v>Host Cust Costs</c:v>
                </c:pt>
                <c:pt idx="6">
                  <c:v>Host Cust Ben</c:v>
                </c:pt>
                <c:pt idx="7">
                  <c:v>Total Net</c:v>
                </c:pt>
              </c:strCache>
            </c:strRef>
          </c:cat>
          <c:val>
            <c:numRef>
              <c:f>'Solar + Storage'!$Q$50:$Q$57</c:f>
              <c:numCache>
                <c:formatCode>"$"#,##0_);[Red]\("$"#,##0\)</c:formatCode>
                <c:ptCount val="8"/>
                <c:pt idx="0">
                  <c:v>9321.7558776122896</c:v>
                </c:pt>
                <c:pt idx="1">
                  <c:v>14550.766515004931</c:v>
                </c:pt>
                <c:pt idx="2">
                  <c:v>-12388.235294117658</c:v>
                </c:pt>
                <c:pt idx="3">
                  <c:v>8409.1559771940483</c:v>
                </c:pt>
                <c:pt idx="4">
                  <c:v>646.64432664517687</c:v>
                </c:pt>
                <c:pt idx="5">
                  <c:v>-14784.313725490209</c:v>
                </c:pt>
                <c:pt idx="6">
                  <c:v>3645</c:v>
                </c:pt>
                <c:pt idx="7">
                  <c:v>9400.7736768485756</c:v>
                </c:pt>
              </c:numCache>
            </c:numRef>
          </c:val>
          <c:extLst>
            <c:ext xmlns:c16="http://schemas.microsoft.com/office/drawing/2014/chart" uri="{C3380CC4-5D6E-409C-BE32-E72D297353CC}">
              <c16:uniqueId val="{00000000-C52E-4FAB-8E9C-05B791EC5C6B}"/>
            </c:ext>
          </c:extLst>
        </c:ser>
        <c:dLbls>
          <c:showLegendKey val="0"/>
          <c:showVal val="0"/>
          <c:showCatName val="0"/>
          <c:showSerName val="0"/>
          <c:showPercent val="0"/>
          <c:showBubbleSize val="0"/>
        </c:dLbls>
        <c:gapWidth val="219"/>
        <c:overlap val="-27"/>
        <c:axId val="214722016"/>
        <c:axId val="214738816"/>
      </c:barChart>
      <c:catAx>
        <c:axId val="2147220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38816"/>
        <c:crosses val="autoZero"/>
        <c:auto val="1"/>
        <c:lblAlgn val="ctr"/>
        <c:lblOffset val="100"/>
        <c:noMultiLvlLbl val="0"/>
      </c:catAx>
      <c:valAx>
        <c:axId val="21473881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220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Case 4</a:t>
            </a:r>
            <a:r>
              <a:rPr lang="en-US"/>
              <a:t>: PV+Batt IQ/</a:t>
            </a:r>
            <a:r>
              <a:rPr lang="en-US" baseline="0"/>
              <a:t> Priority Market Segment</a:t>
            </a:r>
            <a:endParaRPr lang="en-US"/>
          </a:p>
        </c:rich>
      </c:tx>
      <c:layout>
        <c:manualLayout>
          <c:xMode val="edge"/>
          <c:yMode val="edge"/>
          <c:x val="0.17657431724454772"/>
          <c:y val="3.30555526635561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885870516185478"/>
          <c:y val="0.17634259259259263"/>
          <c:w val="0.83058573928258972"/>
          <c:h val="0.6704013560804899"/>
        </c:manualLayout>
      </c:layout>
      <c:barChart>
        <c:barDir val="col"/>
        <c:grouping val="clustered"/>
        <c:varyColors val="0"/>
        <c:ser>
          <c:idx val="0"/>
          <c:order val="0"/>
          <c:tx>
            <c:strRef>
              <c:f>'Solar + Storage'!$Q$62</c:f>
              <c:strCache>
                <c:ptCount val="1"/>
                <c:pt idx="0">
                  <c:v>Case 4: PV+Batt IQ Target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'Solar + Storage'!$P$63:$P$70</c:f>
              <c:strCache>
                <c:ptCount val="8"/>
                <c:pt idx="0">
                  <c:v>Energy AC</c:v>
                </c:pt>
                <c:pt idx="1">
                  <c:v>Capacity AC</c:v>
                </c:pt>
                <c:pt idx="2">
                  <c:v>Program Costs</c:v>
                </c:pt>
                <c:pt idx="3">
                  <c:v>GHG</c:v>
                </c:pt>
                <c:pt idx="4">
                  <c:v>Other Air Poll.</c:v>
                </c:pt>
                <c:pt idx="5">
                  <c:v>Host Cust Costs</c:v>
                </c:pt>
                <c:pt idx="6">
                  <c:v>Host Cust Ben</c:v>
                </c:pt>
                <c:pt idx="7">
                  <c:v>Total Net</c:v>
                </c:pt>
              </c:strCache>
            </c:strRef>
          </c:cat>
          <c:val>
            <c:numRef>
              <c:f>'Solar + Storage'!$Q$63:$Q$70</c:f>
              <c:numCache>
                <c:formatCode>"$"#,##0_);[Red]\("$"#,##0\)</c:formatCode>
                <c:ptCount val="8"/>
                <c:pt idx="0">
                  <c:v>9321.7558776122896</c:v>
                </c:pt>
                <c:pt idx="1">
                  <c:v>14550.766515004931</c:v>
                </c:pt>
                <c:pt idx="2">
                  <c:v>-12388.235294117658</c:v>
                </c:pt>
                <c:pt idx="3">
                  <c:v>8409.1559771940483</c:v>
                </c:pt>
                <c:pt idx="4">
                  <c:v>646.64432664517687</c:v>
                </c:pt>
                <c:pt idx="5">
                  <c:v>-14784.313725490209</c:v>
                </c:pt>
                <c:pt idx="6">
                  <c:v>7290</c:v>
                </c:pt>
                <c:pt idx="7">
                  <c:v>13045.773676848576</c:v>
                </c:pt>
              </c:numCache>
            </c:numRef>
          </c:val>
          <c:extLst>
            <c:ext xmlns:c16="http://schemas.microsoft.com/office/drawing/2014/chart" uri="{C3380CC4-5D6E-409C-BE32-E72D297353CC}">
              <c16:uniqueId val="{00000000-160F-44F1-81DC-B9B2206034E2}"/>
            </c:ext>
          </c:extLst>
        </c:ser>
        <c:dLbls>
          <c:showLegendKey val="0"/>
          <c:showVal val="0"/>
          <c:showCatName val="0"/>
          <c:showSerName val="0"/>
          <c:showPercent val="0"/>
          <c:showBubbleSize val="0"/>
        </c:dLbls>
        <c:gapWidth val="219"/>
        <c:overlap val="-27"/>
        <c:axId val="214722016"/>
        <c:axId val="214738816"/>
      </c:barChart>
      <c:catAx>
        <c:axId val="2147220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38816"/>
        <c:crosses val="autoZero"/>
        <c:auto val="1"/>
        <c:lblAlgn val="ctr"/>
        <c:lblOffset val="100"/>
        <c:noMultiLvlLbl val="0"/>
      </c:catAx>
      <c:valAx>
        <c:axId val="21473881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220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Heat Pump</a:t>
            </a:r>
            <a:r>
              <a:rPr lang="en-US" baseline="0"/>
              <a:t>  and WX Income Qualified, Fuel Oil Replacement</a:t>
            </a:r>
          </a:p>
          <a:p>
            <a:pPr>
              <a:defRPr/>
            </a:pPr>
            <a:r>
              <a:rPr lang="en-US" baseline="0"/>
              <a:t>Benefits and Costs by Category</a:t>
            </a:r>
          </a:p>
          <a:p>
            <a:pPr>
              <a:defRPr/>
            </a:pPr>
            <a:r>
              <a:rPr lang="en-US" baseline="0"/>
              <a:t>Single Unit, 2% Real Discount, 15 yr. Measure LIfe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49712558891197"/>
          <c:y val="5.2422372671569781E-2"/>
          <c:w val="0.60700951042726869"/>
          <c:h val="0.89755216051256881"/>
        </c:manualLayout>
      </c:layout>
      <c:barChart>
        <c:barDir val="col"/>
        <c:grouping val="stacked"/>
        <c:varyColors val="0"/>
        <c:ser>
          <c:idx val="0"/>
          <c:order val="0"/>
          <c:tx>
            <c:strRef>
              <c:f>'WX+HP '!$F$40</c:f>
              <c:strCache>
                <c:ptCount val="1"/>
                <c:pt idx="0">
                  <c:v>Energy Generation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'WX+HP '!$G$39</c:f>
              <c:strCache>
                <c:ptCount val="1"/>
                <c:pt idx="0">
                  <c:v>HP- Fuel Oil</c:v>
                </c:pt>
              </c:strCache>
            </c:strRef>
          </c:cat>
          <c:val>
            <c:numRef>
              <c:f>'WX+HP '!$G$40</c:f>
              <c:numCache>
                <c:formatCode>"$"#,##0_);[Red]\("$"#,##0\)</c:formatCode>
                <c:ptCount val="1"/>
                <c:pt idx="0">
                  <c:v>-6849.1224974673232</c:v>
                </c:pt>
              </c:numCache>
            </c:numRef>
          </c:val>
          <c:extLst>
            <c:ext xmlns:c16="http://schemas.microsoft.com/office/drawing/2014/chart" uri="{C3380CC4-5D6E-409C-BE32-E72D297353CC}">
              <c16:uniqueId val="{00000000-B4B7-4189-BCDE-DC58CD6B9EB1}"/>
            </c:ext>
          </c:extLst>
        </c:ser>
        <c:ser>
          <c:idx val="1"/>
          <c:order val="1"/>
          <c:tx>
            <c:strRef>
              <c:f>'WX+HP '!$F$41</c:f>
              <c:strCache>
                <c:ptCount val="1"/>
                <c:pt idx="0">
                  <c:v>Capacity</c:v>
                </c:pt>
              </c:strCache>
            </c:strRef>
          </c:tx>
          <c:spPr>
            <a:solidFill>
              <a:schemeClr val="accent2">
                <a:lumMod val="60000"/>
                <a:lumOff val="40000"/>
              </a:schemeClr>
            </a:solidFill>
            <a:ln>
              <a:noFill/>
            </a:ln>
            <a:effectLst>
              <a:outerShdw blurRad="57150" dist="19050" dir="5400000" algn="ctr" rotWithShape="0">
                <a:srgbClr val="000000">
                  <a:alpha val="63000"/>
                </a:srgbClr>
              </a:outerShdw>
            </a:effectLst>
          </c:spPr>
          <c:invertIfNegative val="0"/>
          <c:cat>
            <c:strRef>
              <c:f>'WX+HP '!$G$39</c:f>
              <c:strCache>
                <c:ptCount val="1"/>
                <c:pt idx="0">
                  <c:v>HP- Fuel Oil</c:v>
                </c:pt>
              </c:strCache>
            </c:strRef>
          </c:cat>
          <c:val>
            <c:numRef>
              <c:f>'WX+HP '!$G$41</c:f>
              <c:numCache>
                <c:formatCode>"$"#,##0_);[Red]\("$"#,##0\)</c:formatCode>
                <c:ptCount val="1"/>
                <c:pt idx="0">
                  <c:v>-8703.4989436979977</c:v>
                </c:pt>
              </c:numCache>
            </c:numRef>
          </c:val>
          <c:extLst>
            <c:ext xmlns:c16="http://schemas.microsoft.com/office/drawing/2014/chart" uri="{C3380CC4-5D6E-409C-BE32-E72D297353CC}">
              <c16:uniqueId val="{00000001-B4B7-4189-BCDE-DC58CD6B9EB1}"/>
            </c:ext>
          </c:extLst>
        </c:ser>
        <c:ser>
          <c:idx val="2"/>
          <c:order val="2"/>
          <c:tx>
            <c:strRef>
              <c:f>'WX+HP '!$F$42</c:f>
              <c:strCache>
                <c:ptCount val="1"/>
                <c:pt idx="0">
                  <c:v>Transmission Capacity</c:v>
                </c:pt>
              </c:strCache>
            </c:strRef>
          </c:tx>
          <c:spPr>
            <a:solidFill>
              <a:schemeClr val="accent2">
                <a:lumMod val="40000"/>
                <a:lumOff val="60000"/>
              </a:schemeClr>
            </a:solidFill>
            <a:ln>
              <a:noFill/>
            </a:ln>
            <a:effectLst>
              <a:outerShdw blurRad="57150" dist="19050" dir="5400000" algn="ctr" rotWithShape="0">
                <a:srgbClr val="000000">
                  <a:alpha val="63000"/>
                </a:srgbClr>
              </a:outerShdw>
            </a:effectLst>
          </c:spPr>
          <c:invertIfNegative val="0"/>
          <c:cat>
            <c:strRef>
              <c:f>'WX+HP '!$G$39</c:f>
              <c:strCache>
                <c:ptCount val="1"/>
                <c:pt idx="0">
                  <c:v>HP- Fuel Oil</c:v>
                </c:pt>
              </c:strCache>
            </c:strRef>
          </c:cat>
          <c:val>
            <c:numRef>
              <c:f>'WX+HP '!$G$42</c:f>
              <c:numCache>
                <c:formatCode>"$"#,##0_);[Red]\("$"#,##0\)</c:formatCode>
                <c:ptCount val="1"/>
                <c:pt idx="0">
                  <c:v>-1859.6901287165745</c:v>
                </c:pt>
              </c:numCache>
            </c:numRef>
          </c:val>
          <c:extLst>
            <c:ext xmlns:c16="http://schemas.microsoft.com/office/drawing/2014/chart" uri="{C3380CC4-5D6E-409C-BE32-E72D297353CC}">
              <c16:uniqueId val="{00000002-B4B7-4189-BCDE-DC58CD6B9EB1}"/>
            </c:ext>
          </c:extLst>
        </c:ser>
        <c:ser>
          <c:idx val="3"/>
          <c:order val="3"/>
          <c:tx>
            <c:strRef>
              <c:f>'WX+HP '!$F$43</c:f>
              <c:strCache>
                <c:ptCount val="1"/>
                <c:pt idx="0">
                  <c:v>Distribution Capacity </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'WX+HP '!$G$39</c:f>
              <c:strCache>
                <c:ptCount val="1"/>
                <c:pt idx="0">
                  <c:v>HP- Fuel Oil</c:v>
                </c:pt>
              </c:strCache>
            </c:strRef>
          </c:cat>
          <c:val>
            <c:numRef>
              <c:f>'WX+HP '!$G$43</c:f>
              <c:numCache>
                <c:formatCode>"$"#,##0_);[Red]\("$"#,##0\)</c:formatCode>
                <c:ptCount val="1"/>
                <c:pt idx="0">
                  <c:v>-1859.6901287165745</c:v>
                </c:pt>
              </c:numCache>
            </c:numRef>
          </c:val>
          <c:extLst>
            <c:ext xmlns:c16="http://schemas.microsoft.com/office/drawing/2014/chart" uri="{C3380CC4-5D6E-409C-BE32-E72D297353CC}">
              <c16:uniqueId val="{00000003-B4B7-4189-BCDE-DC58CD6B9EB1}"/>
            </c:ext>
          </c:extLst>
        </c:ser>
        <c:ser>
          <c:idx val="4"/>
          <c:order val="4"/>
          <c:tx>
            <c:strRef>
              <c:f>'WX+HP '!$F$44</c:f>
              <c:strCache>
                <c:ptCount val="1"/>
                <c:pt idx="0">
                  <c:v>Financial Incentives</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'WX+HP '!$G$39</c:f>
              <c:strCache>
                <c:ptCount val="1"/>
                <c:pt idx="0">
                  <c:v>HP- Fuel Oil</c:v>
                </c:pt>
              </c:strCache>
            </c:strRef>
          </c:cat>
          <c:val>
            <c:numRef>
              <c:f>'WX+HP '!$G$44</c:f>
              <c:numCache>
                <c:formatCode>"$"#,##0_);[Red]\("$"#,##0\)</c:formatCode>
                <c:ptCount val="1"/>
                <c:pt idx="0">
                  <c:v>-19607.843137254902</c:v>
                </c:pt>
              </c:numCache>
            </c:numRef>
          </c:val>
          <c:extLst>
            <c:ext xmlns:c16="http://schemas.microsoft.com/office/drawing/2014/chart" uri="{C3380CC4-5D6E-409C-BE32-E72D297353CC}">
              <c16:uniqueId val="{00000004-B4B7-4189-BCDE-DC58CD6B9EB1}"/>
            </c:ext>
          </c:extLst>
        </c:ser>
        <c:ser>
          <c:idx val="5"/>
          <c:order val="5"/>
          <c:tx>
            <c:strRef>
              <c:f>'WX+HP '!$F$45</c:f>
              <c:strCache>
                <c:ptCount val="1"/>
                <c:pt idx="0">
                  <c:v>Program Administration</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solidFill>
                <a:schemeClr val="tx2">
                  <a:lumMod val="50000"/>
                  <a:lumOff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B4B7-4189-BCDE-DC58CD6B9EB1}"/>
              </c:ext>
            </c:extLst>
          </c:dPt>
          <c:cat>
            <c:strRef>
              <c:f>'WX+HP '!$G$39</c:f>
              <c:strCache>
                <c:ptCount val="1"/>
                <c:pt idx="0">
                  <c:v>HP- Fuel Oil</c:v>
                </c:pt>
              </c:strCache>
            </c:strRef>
          </c:cat>
          <c:val>
            <c:numRef>
              <c:f>'WX+HP '!$G$45</c:f>
              <c:numCache>
                <c:formatCode>"$"#,##0_);[Red]\("$"#,##0\)</c:formatCode>
                <c:ptCount val="1"/>
                <c:pt idx="0">
                  <c:v>-3431.3725490196075</c:v>
                </c:pt>
              </c:numCache>
            </c:numRef>
          </c:val>
          <c:extLst>
            <c:ext xmlns:c16="http://schemas.microsoft.com/office/drawing/2014/chart" uri="{C3380CC4-5D6E-409C-BE32-E72D297353CC}">
              <c16:uniqueId val="{00000005-B4B7-4189-BCDE-DC58CD6B9EB1}"/>
            </c:ext>
          </c:extLst>
        </c:ser>
        <c:ser>
          <c:idx val="6"/>
          <c:order val="6"/>
          <c:tx>
            <c:strRef>
              <c:f>'WX+HP '!$F$46</c:f>
              <c:strCache>
                <c:ptCount val="1"/>
                <c:pt idx="0">
                  <c:v>Avoided Heating Oil/Natural Gas</c:v>
                </c:pt>
              </c:strCache>
            </c:strRef>
          </c:tx>
          <c:spPr>
            <a:solidFill>
              <a:schemeClr val="accent5">
                <a:lumMod val="20000"/>
                <a:lumOff val="80000"/>
              </a:schemeClr>
            </a:solidFill>
            <a:ln>
              <a:noFill/>
            </a:ln>
            <a:effectLst>
              <a:outerShdw blurRad="57150" dist="19050" dir="5400000" algn="ctr" rotWithShape="0">
                <a:srgbClr val="000000">
                  <a:alpha val="63000"/>
                </a:srgbClr>
              </a:outerShdw>
            </a:effectLst>
          </c:spPr>
          <c:invertIfNegative val="0"/>
          <c:cat>
            <c:strRef>
              <c:f>'WX+HP '!$G$39</c:f>
              <c:strCache>
                <c:ptCount val="1"/>
                <c:pt idx="0">
                  <c:v>HP- Fuel Oil</c:v>
                </c:pt>
              </c:strCache>
            </c:strRef>
          </c:cat>
          <c:val>
            <c:numRef>
              <c:f>'WX+HP '!$G$46</c:f>
              <c:numCache>
                <c:formatCode>"$"#,##0_);[Red]\("$"#,##0\)</c:formatCode>
                <c:ptCount val="1"/>
                <c:pt idx="0">
                  <c:v>42442.305261721725</c:v>
                </c:pt>
              </c:numCache>
            </c:numRef>
          </c:val>
          <c:extLst>
            <c:ext xmlns:c16="http://schemas.microsoft.com/office/drawing/2014/chart" uri="{C3380CC4-5D6E-409C-BE32-E72D297353CC}">
              <c16:uniqueId val="{00000006-B4B7-4189-BCDE-DC58CD6B9EB1}"/>
            </c:ext>
          </c:extLst>
        </c:ser>
        <c:ser>
          <c:idx val="7"/>
          <c:order val="7"/>
          <c:tx>
            <c:strRef>
              <c:f>'WX+HP '!$F$47</c:f>
              <c:strCache>
                <c:ptCount val="1"/>
                <c:pt idx="0">
                  <c:v>Health Impacts from Increase/Decrease in Electric Generation</c:v>
                </c:pt>
              </c:strCache>
            </c:strRef>
          </c:tx>
          <c:spPr>
            <a:solidFill>
              <a:schemeClr val="accent6">
                <a:lumMod val="60000"/>
                <a:lumOff val="40000"/>
              </a:schemeClr>
            </a:solidFill>
            <a:ln>
              <a:noFill/>
            </a:ln>
            <a:effectLst>
              <a:outerShdw blurRad="57150" dist="19050" dir="5400000" algn="ctr" rotWithShape="0">
                <a:srgbClr val="000000">
                  <a:alpha val="63000"/>
                </a:srgbClr>
              </a:outerShdw>
            </a:effectLst>
          </c:spPr>
          <c:invertIfNegative val="0"/>
          <c:cat>
            <c:strRef>
              <c:f>'WX+HP '!$G$39</c:f>
              <c:strCache>
                <c:ptCount val="1"/>
                <c:pt idx="0">
                  <c:v>HP- Fuel Oil</c:v>
                </c:pt>
              </c:strCache>
            </c:strRef>
          </c:cat>
          <c:val>
            <c:numRef>
              <c:f>'WX+HP '!$G$47</c:f>
              <c:numCache>
                <c:formatCode>"$"#,##0_);[Red]\("$"#,##0\)</c:formatCode>
                <c:ptCount val="1"/>
                <c:pt idx="0">
                  <c:v>-623.56135106560703</c:v>
                </c:pt>
              </c:numCache>
            </c:numRef>
          </c:val>
          <c:extLst>
            <c:ext xmlns:c16="http://schemas.microsoft.com/office/drawing/2014/chart" uri="{C3380CC4-5D6E-409C-BE32-E72D297353CC}">
              <c16:uniqueId val="{00000007-B4B7-4189-BCDE-DC58CD6B9EB1}"/>
            </c:ext>
          </c:extLst>
        </c:ser>
        <c:ser>
          <c:idx val="8"/>
          <c:order val="8"/>
          <c:tx>
            <c:strRef>
              <c:f>'WX+HP '!$F$48</c:f>
              <c:strCache>
                <c:ptCount val="1"/>
                <c:pt idx="0">
                  <c:v>Avoided Social Costs for CO2</c:v>
                </c:pt>
              </c:strCache>
            </c:strRef>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'WX+HP '!$G$39</c:f>
              <c:strCache>
                <c:ptCount val="1"/>
                <c:pt idx="0">
                  <c:v>HP- Fuel Oil</c:v>
                </c:pt>
              </c:strCache>
            </c:strRef>
          </c:cat>
          <c:val>
            <c:numRef>
              <c:f>'WX+HP '!$G$48</c:f>
              <c:numCache>
                <c:formatCode>"$"#,##0_);[Red]\("$"#,##0\)</c:formatCode>
                <c:ptCount val="1"/>
                <c:pt idx="0">
                  <c:v>15768.568890791455</c:v>
                </c:pt>
              </c:numCache>
            </c:numRef>
          </c:val>
          <c:extLst>
            <c:ext xmlns:c16="http://schemas.microsoft.com/office/drawing/2014/chart" uri="{C3380CC4-5D6E-409C-BE32-E72D297353CC}">
              <c16:uniqueId val="{00000008-B4B7-4189-BCDE-DC58CD6B9EB1}"/>
            </c:ext>
          </c:extLst>
        </c:ser>
        <c:ser>
          <c:idx val="9"/>
          <c:order val="9"/>
          <c:tx>
            <c:strRef>
              <c:f>'WX+HP '!$F$49</c:f>
              <c:strCache>
                <c:ptCount val="1"/>
                <c:pt idx="0">
                  <c:v>Host measure costs</c:v>
                </c:pt>
              </c:strCache>
            </c:strRef>
          </c:tx>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'WX+HP '!$G$39</c:f>
              <c:strCache>
                <c:ptCount val="1"/>
                <c:pt idx="0">
                  <c:v>HP- Fuel Oil</c:v>
                </c:pt>
              </c:strCache>
            </c:strRef>
          </c:cat>
          <c:val>
            <c:numRef>
              <c:f>'WX+HP '!$G$49</c:f>
              <c:numCache>
                <c:formatCode>"$"#,##0_);[Red]\("$"#,##0\)</c:formatCode>
                <c:ptCount val="1"/>
                <c:pt idx="0">
                  <c:v>0</c:v>
                </c:pt>
              </c:numCache>
            </c:numRef>
          </c:val>
          <c:extLst>
            <c:ext xmlns:c16="http://schemas.microsoft.com/office/drawing/2014/chart" uri="{C3380CC4-5D6E-409C-BE32-E72D297353CC}">
              <c16:uniqueId val="{00000009-B4B7-4189-BCDE-DC58CD6B9EB1}"/>
            </c:ext>
          </c:extLst>
        </c:ser>
        <c:ser>
          <c:idx val="10"/>
          <c:order val="10"/>
          <c:tx>
            <c:strRef>
              <c:f>'WX+HP '!$F$50</c:f>
              <c:strCache>
                <c:ptCount val="1"/>
                <c:pt idx="0">
                  <c:v>Proxy host customer benefits</c:v>
                </c:pt>
              </c:strCache>
            </c:strRef>
          </c:tx>
          <c:spPr>
            <a:solidFill>
              <a:schemeClr val="accent1">
                <a:lumMod val="20000"/>
                <a:lumOff val="80000"/>
              </a:schemeClr>
            </a:solidFill>
            <a:ln>
              <a:noFill/>
            </a:ln>
            <a:effectLst>
              <a:outerShdw blurRad="57150" dist="19050" dir="5400000" algn="ctr" rotWithShape="0">
                <a:srgbClr val="000000">
                  <a:alpha val="63000"/>
                </a:srgbClr>
              </a:outerShdw>
            </a:effectLst>
          </c:spPr>
          <c:invertIfNegative val="0"/>
          <c:cat>
            <c:strRef>
              <c:f>'WX+HP '!$G$39</c:f>
              <c:strCache>
                <c:ptCount val="1"/>
                <c:pt idx="0">
                  <c:v>HP- Fuel Oil</c:v>
                </c:pt>
              </c:strCache>
            </c:strRef>
          </c:cat>
          <c:val>
            <c:numRef>
              <c:f>'WX+HP '!$G$50</c:f>
              <c:numCache>
                <c:formatCode>"$"#,##0_);[Red]\("$"#,##0\)</c:formatCode>
                <c:ptCount val="1"/>
                <c:pt idx="0">
                  <c:v>5597.6607975545758</c:v>
                </c:pt>
              </c:numCache>
            </c:numRef>
          </c:val>
          <c:extLst>
            <c:ext xmlns:c16="http://schemas.microsoft.com/office/drawing/2014/chart" uri="{C3380CC4-5D6E-409C-BE32-E72D297353CC}">
              <c16:uniqueId val="{0000000A-B4B7-4189-BCDE-DC58CD6B9EB1}"/>
            </c:ext>
          </c:extLst>
        </c:ser>
        <c:dLbls>
          <c:showLegendKey val="0"/>
          <c:showVal val="0"/>
          <c:showCatName val="0"/>
          <c:showSerName val="0"/>
          <c:showPercent val="0"/>
          <c:showBubbleSize val="0"/>
        </c:dLbls>
        <c:gapWidth val="150"/>
        <c:overlap val="100"/>
        <c:axId val="646933424"/>
        <c:axId val="646933904"/>
      </c:barChart>
      <c:catAx>
        <c:axId val="646933424"/>
        <c:scaling>
          <c:orientation val="minMax"/>
        </c:scaling>
        <c:delete val="0"/>
        <c:axPos val="b"/>
        <c:numFmt formatCode="General" sourceLinked="1"/>
        <c:majorTickMark val="none"/>
        <c:minorTickMark val="none"/>
        <c:tickLblPos val="low"/>
        <c:spPr>
          <a:noFill/>
          <a:ln w="381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6933904"/>
        <c:crosses val="autoZero"/>
        <c:auto val="1"/>
        <c:lblAlgn val="ctr"/>
        <c:lblOffset val="100"/>
        <c:noMultiLvlLbl val="0"/>
      </c:catAx>
      <c:valAx>
        <c:axId val="646933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a:t>Million $ Present Value</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itle>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6933424"/>
        <c:crosses val="autoZero"/>
        <c:crossBetween val="between"/>
      </c:valAx>
      <c:spPr>
        <a:noFill/>
        <a:ln>
          <a:noFill/>
        </a:ln>
        <a:effectLst/>
      </c:spPr>
    </c:plotArea>
    <c:legend>
      <c:legendPos val="r"/>
      <c:layout>
        <c:manualLayout>
          <c:xMode val="edge"/>
          <c:yMode val="edge"/>
          <c:x val="0.76371174121236318"/>
          <c:y val="0.26185682691449219"/>
          <c:w val="0.23506366902520726"/>
          <c:h val="0.590970354999056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Weatherization and Heat</a:t>
            </a:r>
            <a:r>
              <a:rPr lang="en-US" baseline="0"/>
              <a:t> Pump - Income Qualified Target Market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'Levelized NEIs'!$B$13:$B$24</c:f>
              <c:strCache>
                <c:ptCount val="12"/>
                <c:pt idx="0">
                  <c:v>Energy AC</c:v>
                </c:pt>
                <c:pt idx="1">
                  <c:v>Capacity AC</c:v>
                </c:pt>
                <c:pt idx="2">
                  <c:v>Transmission</c:v>
                </c:pt>
                <c:pt idx="3">
                  <c:v>Distribution</c:v>
                </c:pt>
                <c:pt idx="4">
                  <c:v>Financial Incentives</c:v>
                </c:pt>
                <c:pt idx="5">
                  <c:v>Program Admin</c:v>
                </c:pt>
                <c:pt idx="6">
                  <c:v>Avoided Heating Oil</c:v>
                </c:pt>
                <c:pt idx="7">
                  <c:v>Avoided GHG</c:v>
                </c:pt>
                <c:pt idx="8">
                  <c:v>Host Customer Direct Costs</c:v>
                </c:pt>
                <c:pt idx="9">
                  <c:v>Host Customer NEI Proxy</c:v>
                </c:pt>
                <c:pt idx="10">
                  <c:v>NPV Energy Total Benefits</c:v>
                </c:pt>
                <c:pt idx="11">
                  <c:v>Total Net</c:v>
                </c:pt>
              </c:strCache>
            </c:strRef>
          </c:cat>
          <c:val>
            <c:numRef>
              <c:f>'Levelized NEIs'!$C$13:$C$24</c:f>
              <c:numCache>
                <c:formatCode>"$"#,##0_);[Red]\("$"#,##0\)</c:formatCode>
                <c:ptCount val="12"/>
                <c:pt idx="0">
                  <c:v>-6849.1224974673232</c:v>
                </c:pt>
                <c:pt idx="1">
                  <c:v>-8703.4989436979977</c:v>
                </c:pt>
                <c:pt idx="2">
                  <c:v>-1859.6901287165745</c:v>
                </c:pt>
                <c:pt idx="3">
                  <c:v>-1859.6901287165745</c:v>
                </c:pt>
                <c:pt idx="4">
                  <c:v>-19607.843137254902</c:v>
                </c:pt>
                <c:pt idx="5">
                  <c:v>-3431.3725490196075</c:v>
                </c:pt>
                <c:pt idx="6">
                  <c:v>42442.305261721725</c:v>
                </c:pt>
                <c:pt idx="7">
                  <c:v>15768.568890791455</c:v>
                </c:pt>
                <c:pt idx="8">
                  <c:v>0</c:v>
                </c:pt>
                <c:pt idx="9">
                  <c:v>5597.6607975545758</c:v>
                </c:pt>
                <c:pt idx="10">
                  <c:v>23170.303563123256</c:v>
                </c:pt>
              </c:numCache>
            </c:numRef>
          </c:val>
          <c:extLst>
            <c:ext xmlns:c16="http://schemas.microsoft.com/office/drawing/2014/chart" uri="{C3380CC4-5D6E-409C-BE32-E72D297353CC}">
              <c16:uniqueId val="{00000000-44E6-4BDF-9D9F-E3EB74F09E1D}"/>
            </c:ext>
          </c:extLst>
        </c:ser>
        <c:dLbls>
          <c:showLegendKey val="0"/>
          <c:showVal val="0"/>
          <c:showCatName val="0"/>
          <c:showSerName val="0"/>
          <c:showPercent val="0"/>
          <c:showBubbleSize val="0"/>
        </c:dLbls>
        <c:gapWidth val="219"/>
        <c:overlap val="-27"/>
        <c:axId val="1841200368"/>
        <c:axId val="1841207088"/>
      </c:barChart>
      <c:catAx>
        <c:axId val="1841200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1207088"/>
        <c:crosses val="autoZero"/>
        <c:auto val="1"/>
        <c:lblAlgn val="ctr"/>
        <c:lblOffset val="100"/>
        <c:noMultiLvlLbl val="0"/>
      </c:catAx>
      <c:valAx>
        <c:axId val="1841207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Present Value @ 2% discount rate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12003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025193C-3781-4D79-879D-96B4ED8A0B7B}">
  <sheetPr>
    <tabColor theme="3" tint="0.749992370372631"/>
  </sheetPr>
  <sheetViews>
    <sheetView zoomScale="76"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absoluteAnchor>
    <xdr:pos x="0" y="0"/>
    <xdr:ext cx="12996612" cy="9412204"/>
    <xdr:graphicFrame macro="">
      <xdr:nvGraphicFramePr>
        <xdr:cNvPr id="2" name="Chart 1">
          <a:extLst>
            <a:ext uri="{FF2B5EF4-FFF2-40B4-BE49-F238E27FC236}">
              <a16:creationId xmlns:a16="http://schemas.microsoft.com/office/drawing/2014/main" id="{30F34803-9050-C209-6356-C370A89FDF1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23446</xdr:colOff>
      <xdr:row>1</xdr:row>
      <xdr:rowOff>3224</xdr:rowOff>
    </xdr:from>
    <xdr:to>
      <xdr:col>5</xdr:col>
      <xdr:colOff>168226</xdr:colOff>
      <xdr:row>16</xdr:row>
      <xdr:rowOff>3223</xdr:rowOff>
    </xdr:to>
    <xdr:graphicFrame macro="">
      <xdr:nvGraphicFramePr>
        <xdr:cNvPr id="2" name="Chart 1">
          <a:extLst>
            <a:ext uri="{FF2B5EF4-FFF2-40B4-BE49-F238E27FC236}">
              <a16:creationId xmlns:a16="http://schemas.microsoft.com/office/drawing/2014/main" id="{C44DA774-D643-4E40-AD5B-6488EE92C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247358</xdr:colOff>
      <xdr:row>0</xdr:row>
      <xdr:rowOff>175847</xdr:rowOff>
    </xdr:from>
    <xdr:to>
      <xdr:col>12</xdr:col>
      <xdr:colOff>552158</xdr:colOff>
      <xdr:row>15</xdr:row>
      <xdr:rowOff>175847</xdr:rowOff>
    </xdr:to>
    <xdr:graphicFrame macro="">
      <xdr:nvGraphicFramePr>
        <xdr:cNvPr id="3" name="Chart 2">
          <a:extLst>
            <a:ext uri="{FF2B5EF4-FFF2-40B4-BE49-F238E27FC236}">
              <a16:creationId xmlns:a16="http://schemas.microsoft.com/office/drawing/2014/main" id="{1A56953F-FCC0-4F85-AD5F-364A807F5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115471</xdr:colOff>
      <xdr:row>0</xdr:row>
      <xdr:rowOff>164123</xdr:rowOff>
    </xdr:from>
    <xdr:to>
      <xdr:col>19</xdr:col>
      <xdr:colOff>199291</xdr:colOff>
      <xdr:row>15</xdr:row>
      <xdr:rowOff>164123</xdr:rowOff>
    </xdr:to>
    <xdr:graphicFrame macro="">
      <xdr:nvGraphicFramePr>
        <xdr:cNvPr id="4" name="Chart 3">
          <a:extLst>
            <a:ext uri="{FF2B5EF4-FFF2-40B4-BE49-F238E27FC236}">
              <a16:creationId xmlns:a16="http://schemas.microsoft.com/office/drawing/2014/main" id="{BEE67C99-AF2B-4E31-A405-8795EA1DEF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485922</xdr:colOff>
      <xdr:row>0</xdr:row>
      <xdr:rowOff>171743</xdr:rowOff>
    </xdr:from>
    <xdr:to>
      <xdr:col>27</xdr:col>
      <xdr:colOff>181122</xdr:colOff>
      <xdr:row>15</xdr:row>
      <xdr:rowOff>171743</xdr:rowOff>
    </xdr:to>
    <xdr:graphicFrame macro="">
      <xdr:nvGraphicFramePr>
        <xdr:cNvPr id="5" name="Chart 4">
          <a:extLst>
            <a:ext uri="{FF2B5EF4-FFF2-40B4-BE49-F238E27FC236}">
              <a16:creationId xmlns:a16="http://schemas.microsoft.com/office/drawing/2014/main" id="{825E516A-BA70-4B35-BF9C-24FDF488B2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3</xdr:row>
      <xdr:rowOff>0</xdr:rowOff>
    </xdr:from>
    <xdr:to>
      <xdr:col>30</xdr:col>
      <xdr:colOff>7620</xdr:colOff>
      <xdr:row>25</xdr:row>
      <xdr:rowOff>279522</xdr:rowOff>
    </xdr:to>
    <xdr:graphicFrame macro="">
      <xdr:nvGraphicFramePr>
        <xdr:cNvPr id="2" name="Chart 1">
          <a:extLst>
            <a:ext uri="{FF2B5EF4-FFF2-40B4-BE49-F238E27FC236}">
              <a16:creationId xmlns:a16="http://schemas.microsoft.com/office/drawing/2014/main" id="{C2D92098-4568-4D54-BE8C-BF89D36B99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102354</xdr:colOff>
      <xdr:row>53</xdr:row>
      <xdr:rowOff>23748</xdr:rowOff>
    </xdr:from>
    <xdr:to>
      <xdr:col>19</xdr:col>
      <xdr:colOff>572782</xdr:colOff>
      <xdr:row>76</xdr:row>
      <xdr:rowOff>170232</xdr:rowOff>
    </xdr:to>
    <xdr:pic>
      <xdr:nvPicPr>
        <xdr:cNvPr id="3" name="Picture 1">
          <a:extLst>
            <a:ext uri="{FF2B5EF4-FFF2-40B4-BE49-F238E27FC236}">
              <a16:creationId xmlns:a16="http://schemas.microsoft.com/office/drawing/2014/main" id="{F1E6CF32-4558-2C51-04EA-1D9D36C4B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19037" y="10598821"/>
          <a:ext cx="1659891" cy="4421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39</xdr:row>
      <xdr:rowOff>53340</xdr:rowOff>
    </xdr:from>
    <xdr:ext cx="6137490" cy="599905"/>
    <xdr:pic>
      <xdr:nvPicPr>
        <xdr:cNvPr id="4" name="Picture 2">
          <a:extLst>
            <a:ext uri="{FF2B5EF4-FFF2-40B4-BE49-F238E27FC236}">
              <a16:creationId xmlns:a16="http://schemas.microsoft.com/office/drawing/2014/main" id="{7DB68CFC-1731-66E3-70D3-0E5D0E8515D4}"/>
            </a:ext>
          </a:extLst>
        </xdr:cNvPr>
        <xdr:cNvPicPr>
          <a:picLocks noChangeAspect="1"/>
        </xdr:cNvPicPr>
      </xdr:nvPicPr>
      <xdr:blipFill>
        <a:blip xmlns:r="http://schemas.openxmlformats.org/officeDocument/2006/relationships" r:embed="rId1"/>
        <a:stretch>
          <a:fillRect/>
        </a:stretch>
      </xdr:blipFill>
      <xdr:spPr>
        <a:xfrm>
          <a:off x="0" y="967740"/>
          <a:ext cx="6137490" cy="599905"/>
        </a:xfrm>
        <a:prstGeom prst="rect">
          <a:avLst/>
        </a:prstGeom>
      </xdr:spPr>
    </xdr:pic>
    <xdr:clientData/>
  </xdr:oneCellAnchor>
  <xdr:twoCellAnchor editAs="oneCell">
    <xdr:from>
      <xdr:col>15</xdr:col>
      <xdr:colOff>175260</xdr:colOff>
      <xdr:row>8</xdr:row>
      <xdr:rowOff>125478</xdr:rowOff>
    </xdr:from>
    <xdr:to>
      <xdr:col>27</xdr:col>
      <xdr:colOff>51973</xdr:colOff>
      <xdr:row>18</xdr:row>
      <xdr:rowOff>75862</xdr:rowOff>
    </xdr:to>
    <xdr:pic>
      <xdr:nvPicPr>
        <xdr:cNvPr id="2" name="Picture 1">
          <a:extLst>
            <a:ext uri="{FF2B5EF4-FFF2-40B4-BE49-F238E27FC236}">
              <a16:creationId xmlns:a16="http://schemas.microsoft.com/office/drawing/2014/main" id="{F922C0DF-4F7E-42E0-DC3E-30B27851933A}"/>
            </a:ext>
          </a:extLst>
        </xdr:cNvPr>
        <xdr:cNvPicPr>
          <a:picLocks noChangeAspect="1"/>
        </xdr:cNvPicPr>
      </xdr:nvPicPr>
      <xdr:blipFill>
        <a:blip xmlns:r="http://schemas.openxmlformats.org/officeDocument/2006/relationships" r:embed="rId2"/>
        <a:stretch>
          <a:fillRect/>
        </a:stretch>
      </xdr:blipFill>
      <xdr:spPr>
        <a:xfrm>
          <a:off x="11963400" y="1588518"/>
          <a:ext cx="7191913" cy="17791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65183</xdr:colOff>
      <xdr:row>51</xdr:row>
      <xdr:rowOff>153845</xdr:rowOff>
    </xdr:from>
    <xdr:to>
      <xdr:col>13</xdr:col>
      <xdr:colOff>451976</xdr:colOff>
      <xdr:row>75</xdr:row>
      <xdr:rowOff>114475</xdr:rowOff>
    </xdr:to>
    <xdr:pic>
      <xdr:nvPicPr>
        <xdr:cNvPr id="2" name="Picture 1">
          <a:extLst>
            <a:ext uri="{FF2B5EF4-FFF2-40B4-BE49-F238E27FC236}">
              <a16:creationId xmlns:a16="http://schemas.microsoft.com/office/drawing/2014/main" id="{9311C7C2-6008-4E29-8053-3A86CA0F2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4703" y="10212245"/>
          <a:ext cx="1651713" cy="434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561746</xdr:colOff>
      <xdr:row>5</xdr:row>
      <xdr:rowOff>54712</xdr:rowOff>
    </xdr:from>
    <xdr:to>
      <xdr:col>16</xdr:col>
      <xdr:colOff>637946</xdr:colOff>
      <xdr:row>26</xdr:row>
      <xdr:rowOff>157582</xdr:rowOff>
    </xdr:to>
    <xdr:graphicFrame macro="">
      <xdr:nvGraphicFramePr>
        <xdr:cNvPr id="3" name="Chart 1">
          <a:extLst>
            <a:ext uri="{FF2B5EF4-FFF2-40B4-BE49-F238E27FC236}">
              <a16:creationId xmlns:a16="http://schemas.microsoft.com/office/drawing/2014/main" id="{69C1FA4F-16E2-4427-AF45-84CFB1334A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24</xdr:col>
      <xdr:colOff>431130</xdr:colOff>
      <xdr:row>4</xdr:row>
      <xdr:rowOff>902369</xdr:rowOff>
    </xdr:from>
    <xdr:to>
      <xdr:col>27</xdr:col>
      <xdr:colOff>50131</xdr:colOff>
      <xdr:row>10</xdr:row>
      <xdr:rowOff>140369</xdr:rowOff>
    </xdr:to>
    <xdr:sp macro="" textlink="">
      <xdr:nvSpPr>
        <xdr:cNvPr id="2" name="Callout: Line 1">
          <a:extLst>
            <a:ext uri="{FF2B5EF4-FFF2-40B4-BE49-F238E27FC236}">
              <a16:creationId xmlns:a16="http://schemas.microsoft.com/office/drawing/2014/main" id="{4D48C579-624F-96AD-D22E-80ABBFD44979}"/>
            </a:ext>
          </a:extLst>
        </xdr:cNvPr>
        <xdr:cNvSpPr/>
      </xdr:nvSpPr>
      <xdr:spPr>
        <a:xfrm>
          <a:off x="8933446" y="1674395"/>
          <a:ext cx="1453817" cy="1423737"/>
        </a:xfrm>
        <a:prstGeom prst="borderCallout1">
          <a:avLst>
            <a:gd name="adj1" fmla="val 34623"/>
            <a:gd name="adj2" fmla="val -1190"/>
            <a:gd name="adj3" fmla="val 77725"/>
            <a:gd name="adj4" fmla="val -248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t>Average share</a:t>
          </a:r>
          <a:r>
            <a:rPr lang="en-US" sz="1100" baseline="0"/>
            <a:t> of avoided AVC energy attributed to carbon in first five years is 74%, and avoided costs wo carbon raise questions.</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eia.gov/environment/emissions/co2_vol_mass.php" TargetMode="External"/><Relationship Id="rId7" Type="http://schemas.openxmlformats.org/officeDocument/2006/relationships/hyperlink" Target="https://www.eia.gov/outlooks/aeo/tables_side_xls.php" TargetMode="External"/><Relationship Id="rId2" Type="http://schemas.openxmlformats.org/officeDocument/2006/relationships/hyperlink" Target="https://eastwardenergy.com/wp-content/uploads/2024/02/March-Rate-Tables-2024-FINAL.pdf" TargetMode="External"/><Relationship Id="rId1" Type="http://schemas.openxmlformats.org/officeDocument/2006/relationships/hyperlink" Target="https://www.efficiencyns.ca/tools-resources/guide/heating-comparisons/" TargetMode="External"/><Relationship Id="rId6" Type="http://schemas.openxmlformats.org/officeDocument/2006/relationships/hyperlink" Target="http://www.unitjuggler.com/convert-energy-from-GJ-to-MMBtu.html" TargetMode="External"/><Relationship Id="rId5" Type="http://schemas.openxmlformats.org/officeDocument/2006/relationships/hyperlink" Target="https://www.epa.gov/sites/default/files/2020-04/documents/ghg-emission-factors-hub.pdf" TargetMode="External"/><Relationship Id="rId4" Type="http://schemas.openxmlformats.org/officeDocument/2006/relationships/hyperlink" Target="https://www.eia.gov/environment/emissions/co2_vol_mass.php" TargetMode="External"/><Relationship Id="rId9"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canada.ca/en/environment-climate-change/services/climate-change/science-research-data/social-cost-ghg.html"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ieso.ca/en/Sector-Participants/IESO-News/2021/08/Non-Energy-Benefits-Study-Released" TargetMode="External"/><Relationship Id="rId2" Type="http://schemas.openxmlformats.org/officeDocument/2006/relationships/hyperlink" Target="https://ripuc.ri.gov/sites/g/files/xkgbur841/files/eventsactions/docket/1-PY2022-RI-TRM.pdf" TargetMode="External"/><Relationship Id="rId1" Type="http://schemas.openxmlformats.org/officeDocument/2006/relationships/hyperlink" Target="https://lpdd.org/resources/minnesotas-efficiency-cost-effectiveness-test/%20%20%20See:%20In%20the%20Matter%20of%202024-2026%20CIP%20Issue%20Date:%20March%2031,%202023%20Cost-Effectiveness%20Methodologies%20for%20Electric%20and%20Gas%20Investor-Owned%20Utilities" TargetMode="External"/><Relationship Id="rId5" Type="http://schemas.openxmlformats.org/officeDocument/2006/relationships/printerSettings" Target="../printerSettings/printerSettings19.bin"/><Relationship Id="rId4" Type="http://schemas.openxmlformats.org/officeDocument/2006/relationships/hyperlink" Target="https://ma-eeac.org/plans-updates/"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efficiencyns.ca/tools-resources/guide/heating-comparisons/" TargetMode="External"/><Relationship Id="rId1" Type="http://schemas.openxmlformats.org/officeDocument/2006/relationships/hyperlink" Target="https://www.canada.ca/en/environment-climate-change/services/climate-change/pricing-pollution-how-it-will-work/carbon-pollution-pricing-federal-benchmark-information/federal-benchmark-2023-2030.html" TargetMode="External"/><Relationship Id="rId4" Type="http://schemas.openxmlformats.org/officeDocument/2006/relationships/drawing" Target="../drawings/drawing6.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7.bin"/><Relationship Id="rId1" Type="http://schemas.openxmlformats.org/officeDocument/2006/relationships/hyperlink" Target="https://www.canada.ca/en/environment-climate-change/services/climate-change/science-research-data/social-cost-ghg.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eia.gov/energyexplained/units-and-calculators/" TargetMode="External"/><Relationship Id="rId2" Type="http://schemas.openxmlformats.org/officeDocument/2006/relationships/hyperlink" Target="https://www.eia.gov/energyexplained/units-and-calculators/energy-conversion-calculators.php" TargetMode="External"/><Relationship Id="rId1" Type="http://schemas.openxmlformats.org/officeDocument/2006/relationships/hyperlink" Target="http://www.unitjuggler.com/convert-energy-from-GJ-to-MMBtu.html" TargetMode="External"/><Relationship Id="rId6" Type="http://schemas.openxmlformats.org/officeDocument/2006/relationships/printerSettings" Target="../printerSettings/printerSettings7.bin"/><Relationship Id="rId5" Type="http://schemas.openxmlformats.org/officeDocument/2006/relationships/hyperlink" Target="https://www.eia.gov/environment/emissions/co2_vol_mass.php" TargetMode="External"/><Relationship Id="rId4" Type="http://schemas.openxmlformats.org/officeDocument/2006/relationships/hyperlink" Target="https://www.eia.gov/environment/emissions/co2_vol_mass.php"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efficiencyns.ca/tools-resources/guide/heating-comparisons/" TargetMode="External"/><Relationship Id="rId1" Type="http://schemas.openxmlformats.org/officeDocument/2006/relationships/hyperlink" Target="https://www.canada.ca/en/environment-climate-change/services/climate-change/pricing-pollution-how-it-will-work/carbon-pollution-pricing-federal-benchmark-information/federal-benchmark-2023-2030.html" TargetMode="External"/><Relationship Id="rId4"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hyperlink" Target="https://www.eia.gov/environment/emissions/co2_vol_mass.php" TargetMode="External"/><Relationship Id="rId2" Type="http://schemas.openxmlformats.org/officeDocument/2006/relationships/hyperlink" Target="https://www.cer-rec.gc.ca/en/data-analysis/energy-commodities/natural-gas/report/canadian-residential-natural-gasbill/nova-scotia.html" TargetMode="External"/><Relationship Id="rId1" Type="http://schemas.openxmlformats.org/officeDocument/2006/relationships/hyperlink" Target="https://www.canada.ca/en/environment-climate-change/services/climate-change/pricing-pollution-how-it-will-work/carbon-pollution-pricing-federal-benchmark-information/federal-benchmark-2023-2030.html" TargetMode="External"/><Relationship Id="rId5" Type="http://schemas.openxmlformats.org/officeDocument/2006/relationships/printerSettings" Target="../printerSettings/printerSettings9.bin"/><Relationship Id="rId4" Type="http://schemas.openxmlformats.org/officeDocument/2006/relationships/hyperlink" Target="http://www.unitjuggler.com/convert-energy-from-GJ-to-MMBtu.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ia.gov/environment/emissions/co2_vol_mass.php" TargetMode="External"/><Relationship Id="rId2" Type="http://schemas.openxmlformats.org/officeDocument/2006/relationships/hyperlink" Target="https://www.efficiencyns.ca/tools-resources/guide/heating-comparisons/" TargetMode="External"/><Relationship Id="rId1" Type="http://schemas.openxmlformats.org/officeDocument/2006/relationships/hyperlink" Target="https://www.canada.ca/en/environment-climate-change/services/climate-change/pricing-pollution-how-it-will-work/carbon-pollution-pricing-federal-benchmark-information/federal-benchmark-2023-2030.html" TargetMode="External"/><Relationship Id="rId5" Type="http://schemas.openxmlformats.org/officeDocument/2006/relationships/printerSettings" Target="../printerSettings/printerSettings10.bin"/><Relationship Id="rId4" Type="http://schemas.openxmlformats.org/officeDocument/2006/relationships/hyperlink" Target="http://www.unitjuggler.com/convert-energy-from-GJ-to-MMBt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088F5-A387-4CA0-BB50-CDAD79307D64}">
  <sheetPr>
    <tabColor theme="5" tint="-0.249977111117893"/>
  </sheetPr>
  <dimension ref="B1:Z39"/>
  <sheetViews>
    <sheetView tabSelected="1" zoomScale="90" zoomScaleNormal="90" workbookViewId="0">
      <selection activeCell="B25" sqref="B25"/>
    </sheetView>
  </sheetViews>
  <sheetFormatPr defaultRowHeight="14.45"/>
  <sheetData>
    <row r="1" spans="2:26">
      <c r="B1" t="s">
        <v>0</v>
      </c>
    </row>
    <row r="2" spans="2:26" ht="15" thickBot="1"/>
    <row r="3" spans="2:26">
      <c r="B3" s="59" t="s">
        <v>1</v>
      </c>
      <c r="C3" s="60"/>
      <c r="D3" s="60"/>
      <c r="E3" s="60"/>
      <c r="F3" s="60"/>
      <c r="G3" s="60"/>
      <c r="H3" s="60"/>
      <c r="I3" s="60"/>
      <c r="J3" s="60"/>
      <c r="K3" s="60"/>
      <c r="L3" s="60"/>
      <c r="M3" s="60"/>
      <c r="N3" s="60"/>
      <c r="O3" s="60"/>
      <c r="P3" s="60"/>
      <c r="Q3" s="60"/>
      <c r="R3" s="60"/>
      <c r="S3" s="60"/>
      <c r="T3" s="60"/>
      <c r="U3" s="60"/>
      <c r="V3" s="60"/>
      <c r="W3" s="60"/>
      <c r="X3" s="60"/>
      <c r="Y3" s="60"/>
      <c r="Z3" s="61"/>
    </row>
    <row r="4" spans="2:26">
      <c r="B4" s="62" t="s">
        <v>2</v>
      </c>
      <c r="Z4" s="63"/>
    </row>
    <row r="5" spans="2:26">
      <c r="B5" s="62" t="s">
        <v>3</v>
      </c>
      <c r="Z5" s="63"/>
    </row>
    <row r="6" spans="2:26" ht="15" thickBot="1">
      <c r="B6" s="64" t="s">
        <v>4</v>
      </c>
      <c r="C6" s="65"/>
      <c r="D6" s="65"/>
      <c r="E6" s="65"/>
      <c r="F6" s="65"/>
      <c r="G6" s="65"/>
      <c r="H6" s="65"/>
      <c r="I6" s="65"/>
      <c r="J6" s="65"/>
      <c r="K6" s="65"/>
      <c r="L6" s="65"/>
      <c r="M6" s="65"/>
      <c r="N6" s="65"/>
      <c r="O6" s="65"/>
      <c r="P6" s="65"/>
      <c r="Q6" s="65"/>
      <c r="R6" s="65"/>
      <c r="S6" s="65"/>
      <c r="T6" s="65"/>
      <c r="U6" s="65"/>
      <c r="V6" s="65"/>
      <c r="W6" s="65"/>
      <c r="X6" s="65"/>
      <c r="Y6" s="65"/>
      <c r="Z6" s="66"/>
    </row>
    <row r="9" spans="2:26" ht="15" thickBot="1">
      <c r="B9" s="14" t="s">
        <v>5</v>
      </c>
    </row>
    <row r="10" spans="2:26">
      <c r="B10" s="118" t="s">
        <v>6</v>
      </c>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20"/>
    </row>
    <row r="11" spans="2:26">
      <c r="B11" s="121"/>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3"/>
    </row>
    <row r="12" spans="2:26">
      <c r="B12" s="124" t="s">
        <v>7</v>
      </c>
      <c r="C12" s="122"/>
      <c r="D12" s="122"/>
      <c r="E12" s="122"/>
      <c r="Z12" s="63"/>
    </row>
    <row r="13" spans="2:26">
      <c r="B13" s="62" t="s">
        <v>8</v>
      </c>
      <c r="Z13" s="63"/>
    </row>
    <row r="14" spans="2:26">
      <c r="B14" s="62" t="s">
        <v>9</v>
      </c>
      <c r="Z14" s="63"/>
    </row>
    <row r="15" spans="2:26">
      <c r="B15" s="62" t="s">
        <v>10</v>
      </c>
      <c r="Z15" s="63"/>
    </row>
    <row r="16" spans="2:26">
      <c r="B16" s="62" t="s">
        <v>11</v>
      </c>
      <c r="Z16" s="63"/>
    </row>
    <row r="17" spans="2:26">
      <c r="B17" s="62" t="s">
        <v>12</v>
      </c>
      <c r="Z17" s="63"/>
    </row>
    <row r="18" spans="2:26">
      <c r="B18" s="62" t="s">
        <v>13</v>
      </c>
      <c r="Z18" s="63"/>
    </row>
    <row r="19" spans="2:26">
      <c r="B19" s="62" t="s">
        <v>14</v>
      </c>
      <c r="Z19" s="63"/>
    </row>
    <row r="20" spans="2:26" ht="15" thickBot="1">
      <c r="B20" s="62" t="s">
        <v>15</v>
      </c>
      <c r="C20" s="65"/>
      <c r="D20" s="65"/>
      <c r="E20" s="65"/>
      <c r="F20" s="65"/>
      <c r="G20" s="65"/>
      <c r="H20" s="65"/>
      <c r="I20" s="65"/>
      <c r="J20" s="65"/>
      <c r="K20" s="65"/>
      <c r="L20" s="65"/>
      <c r="M20" s="65"/>
      <c r="N20" s="65"/>
      <c r="O20" s="65"/>
      <c r="P20" s="65"/>
      <c r="Q20" s="65"/>
      <c r="R20" s="65"/>
      <c r="S20" s="65"/>
      <c r="T20" s="65"/>
      <c r="U20" s="65"/>
      <c r="V20" s="65"/>
      <c r="W20" s="65"/>
      <c r="X20" s="65"/>
      <c r="Y20" s="65"/>
      <c r="Z20" s="66"/>
    </row>
    <row r="22" spans="2:26" ht="15" thickBot="1">
      <c r="B22" s="14" t="s">
        <v>16</v>
      </c>
    </row>
    <row r="23" spans="2:26">
      <c r="B23" s="112" t="s">
        <v>17</v>
      </c>
      <c r="C23" s="113"/>
      <c r="D23" s="113"/>
      <c r="E23" s="113"/>
      <c r="F23" s="113"/>
      <c r="G23" s="113"/>
      <c r="H23" s="113"/>
      <c r="I23" s="113"/>
      <c r="J23" s="113"/>
      <c r="K23" s="113"/>
      <c r="L23" s="113"/>
      <c r="M23" s="113"/>
      <c r="N23" s="113"/>
      <c r="O23" s="113"/>
      <c r="P23" s="113"/>
      <c r="Q23" s="113"/>
      <c r="R23" s="113"/>
      <c r="S23" s="113"/>
      <c r="T23" s="113"/>
      <c r="U23" s="113"/>
      <c r="V23" s="113"/>
      <c r="W23" s="113"/>
      <c r="X23" s="113"/>
      <c r="Y23" s="113"/>
      <c r="Z23" s="114"/>
    </row>
    <row r="24" spans="2:26">
      <c r="B24" s="115" t="s">
        <v>18</v>
      </c>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7"/>
    </row>
    <row r="25" spans="2:26">
      <c r="B25" s="115" t="s">
        <v>19</v>
      </c>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7"/>
    </row>
    <row r="26" spans="2:26">
      <c r="B26" s="115" t="s">
        <v>20</v>
      </c>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7"/>
    </row>
    <row r="27" spans="2:26">
      <c r="B27" s="125" t="s">
        <v>21</v>
      </c>
      <c r="C27" s="111"/>
      <c r="D27" s="111"/>
      <c r="E27" s="111"/>
      <c r="Z27" s="63"/>
    </row>
    <row r="28" spans="2:26">
      <c r="B28" s="109" t="s">
        <v>22</v>
      </c>
      <c r="Z28" s="63"/>
    </row>
    <row r="29" spans="2:26">
      <c r="B29" s="109" t="s">
        <v>23</v>
      </c>
      <c r="Z29" s="63"/>
    </row>
    <row r="30" spans="2:26">
      <c r="B30" s="109" t="s">
        <v>24</v>
      </c>
      <c r="Z30" s="63"/>
    </row>
    <row r="31" spans="2:26">
      <c r="B31" s="109" t="s">
        <v>25</v>
      </c>
      <c r="Z31" s="63"/>
    </row>
    <row r="32" spans="2:26">
      <c r="B32" s="109" t="s">
        <v>26</v>
      </c>
      <c r="Z32" s="63"/>
    </row>
    <row r="33" spans="2:26">
      <c r="B33" s="109" t="s">
        <v>27</v>
      </c>
      <c r="Z33" s="63"/>
    </row>
    <row r="34" spans="2:26">
      <c r="B34" s="109" t="s">
        <v>28</v>
      </c>
      <c r="Z34" s="63"/>
    </row>
    <row r="35" spans="2:26">
      <c r="B35" s="109" t="s">
        <v>29</v>
      </c>
      <c r="Z35" s="63"/>
    </row>
    <row r="36" spans="2:26">
      <c r="B36" s="109" t="s">
        <v>30</v>
      </c>
      <c r="Z36" s="63"/>
    </row>
    <row r="37" spans="2:26">
      <c r="B37" s="109" t="s">
        <v>31</v>
      </c>
      <c r="Z37" s="63"/>
    </row>
    <row r="38" spans="2:26">
      <c r="B38" s="109" t="s">
        <v>32</v>
      </c>
      <c r="Z38" s="63"/>
    </row>
    <row r="39" spans="2:26" ht="15" thickBot="1">
      <c r="B39" s="110" t="s">
        <v>33</v>
      </c>
      <c r="C39" s="65"/>
      <c r="D39" s="65"/>
      <c r="E39" s="65"/>
      <c r="F39" s="65"/>
      <c r="G39" s="65"/>
      <c r="H39" s="65"/>
      <c r="I39" s="65"/>
      <c r="J39" s="65"/>
      <c r="K39" s="65"/>
      <c r="L39" s="65"/>
      <c r="M39" s="65"/>
      <c r="N39" s="65"/>
      <c r="O39" s="65"/>
      <c r="P39" s="65"/>
      <c r="Q39" s="65"/>
      <c r="R39" s="65"/>
      <c r="S39" s="65"/>
      <c r="T39" s="65"/>
      <c r="U39" s="65"/>
      <c r="V39" s="65"/>
      <c r="W39" s="65"/>
      <c r="X39" s="65"/>
      <c r="Y39" s="65"/>
      <c r="Z39" s="66"/>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43629-C72A-4546-9165-6B0540249A49}">
  <sheetPr>
    <tabColor theme="3" tint="0.749992370372631"/>
  </sheetPr>
  <dimension ref="A1:U50"/>
  <sheetViews>
    <sheetView topLeftCell="D1" zoomScale="90" zoomScaleNormal="90" workbookViewId="0">
      <selection activeCell="E9" sqref="E9"/>
    </sheetView>
  </sheetViews>
  <sheetFormatPr defaultRowHeight="14.45"/>
  <cols>
    <col min="1" max="1" width="24" customWidth="1"/>
    <col min="2" max="2" width="10.42578125" bestFit="1" customWidth="1"/>
    <col min="3" max="3" width="13.5703125" customWidth="1"/>
    <col min="4" max="4" width="18.85546875" customWidth="1"/>
    <col min="5" max="5" width="17.42578125" customWidth="1"/>
    <col min="6" max="7" width="17.5703125" customWidth="1"/>
    <col min="8" max="8" width="14.42578125" customWidth="1"/>
    <col min="9" max="10" width="9.85546875" customWidth="1"/>
    <col min="11" max="11" width="8.85546875" customWidth="1"/>
    <col min="12" max="12" width="8.42578125" customWidth="1"/>
    <col min="13" max="13" width="13.85546875" customWidth="1"/>
    <col min="14" max="14" width="15.42578125" customWidth="1"/>
    <col min="16" max="16" width="12.5703125" bestFit="1" customWidth="1"/>
    <col min="17" max="17" width="14.42578125" customWidth="1"/>
    <col min="20" max="21" width="13.42578125" customWidth="1"/>
  </cols>
  <sheetData>
    <row r="1" spans="1:21">
      <c r="A1" t="s">
        <v>339</v>
      </c>
      <c r="B1">
        <v>2.5</v>
      </c>
    </row>
    <row r="2" spans="1:21">
      <c r="A2" t="s">
        <v>340</v>
      </c>
      <c r="B2">
        <v>2</v>
      </c>
    </row>
    <row r="3" spans="1:21">
      <c r="T3" t="s">
        <v>288</v>
      </c>
      <c r="U3" t="s">
        <v>289</v>
      </c>
    </row>
    <row r="4" spans="1:21">
      <c r="A4" s="14"/>
      <c r="B4" s="14"/>
      <c r="C4" s="14"/>
      <c r="D4" s="212" t="s">
        <v>341</v>
      </c>
      <c r="E4" s="212"/>
      <c r="F4" s="212"/>
      <c r="G4" s="212"/>
      <c r="H4" s="212"/>
      <c r="I4" s="212"/>
      <c r="J4" s="212"/>
      <c r="K4" s="212"/>
      <c r="L4" s="212"/>
      <c r="M4" s="212"/>
      <c r="N4" s="14"/>
      <c r="T4" s="6">
        <v>8000</v>
      </c>
      <c r="U4" s="6">
        <v>2000</v>
      </c>
    </row>
    <row r="5" spans="1:21" ht="43.5">
      <c r="A5" s="14" t="s">
        <v>294</v>
      </c>
      <c r="B5" s="16" t="s">
        <v>280</v>
      </c>
      <c r="C5" s="15" t="s">
        <v>299</v>
      </c>
      <c r="D5" s="15" t="s">
        <v>301</v>
      </c>
      <c r="E5" s="15" t="s">
        <v>342</v>
      </c>
      <c r="F5" s="15" t="s">
        <v>343</v>
      </c>
      <c r="G5" s="15" t="s">
        <v>344</v>
      </c>
      <c r="H5" s="15" t="s">
        <v>345</v>
      </c>
      <c r="I5" s="15" t="s">
        <v>304</v>
      </c>
      <c r="J5" s="15" t="s">
        <v>346</v>
      </c>
      <c r="K5" s="15" t="s">
        <v>305</v>
      </c>
      <c r="L5" s="15" t="s">
        <v>306</v>
      </c>
      <c r="M5" s="15" t="s">
        <v>347</v>
      </c>
      <c r="N5" s="15" t="s">
        <v>292</v>
      </c>
      <c r="P5" s="15" t="s">
        <v>309</v>
      </c>
      <c r="Q5" s="15" t="s">
        <v>306</v>
      </c>
      <c r="T5" s="15" t="s">
        <v>310</v>
      </c>
      <c r="U5" s="15" t="s">
        <v>310</v>
      </c>
    </row>
    <row r="6" spans="1:21">
      <c r="B6" s="13">
        <v>2023</v>
      </c>
    </row>
    <row r="7" spans="1:21">
      <c r="B7" s="13">
        <f t="shared" ref="B7:B23" si="0">B6+1</f>
        <v>2024</v>
      </c>
    </row>
    <row r="8" spans="1:21">
      <c r="B8" s="13">
        <f t="shared" si="0"/>
        <v>2025</v>
      </c>
    </row>
    <row r="9" spans="1:21">
      <c r="A9">
        <v>1</v>
      </c>
      <c r="B9" s="13">
        <f t="shared" si="0"/>
        <v>2026</v>
      </c>
      <c r="C9" s="2">
        <f t="shared" ref="C9:C23" si="1">1/(1+0.02)^A9</f>
        <v>0.98039215686274506</v>
      </c>
      <c r="D9" s="11">
        <v>74</v>
      </c>
      <c r="E9" s="4">
        <f>'GHG Impact Summary'!F4</f>
        <v>7878.077373974209</v>
      </c>
      <c r="F9" s="4">
        <f t="shared" ref="F9:F23" si="2">$B$1*E9</f>
        <v>19695.193434935522</v>
      </c>
      <c r="G9" s="4">
        <f t="shared" ref="G9:G23" si="3">F9-E9</f>
        <v>11817.116060961313</v>
      </c>
      <c r="H9" s="11">
        <f>G9*D9*C9</f>
        <v>857320.18481484032</v>
      </c>
      <c r="I9" s="5">
        <f>(18000/3412)*'Residential Heat Pump Measure'!$D$36</f>
        <v>5275.4982415005861</v>
      </c>
      <c r="J9" s="5">
        <f t="shared" ref="J9:J23" si="4">(I9*$B$2)-I9</f>
        <v>5275.4982415005861</v>
      </c>
      <c r="K9" s="11">
        <v>67</v>
      </c>
      <c r="L9" s="11">
        <v>48</v>
      </c>
      <c r="M9" s="11">
        <f t="shared" ref="M9:M23" si="5">(C9*I9*K9)+(C9*I9*L9)</f>
        <v>594786.56644369347</v>
      </c>
      <c r="N9" s="12">
        <f t="shared" ref="N9:N23" si="6">H9+M9</f>
        <v>1452106.7512585339</v>
      </c>
      <c r="P9" s="11">
        <f>C9*J9*K9</f>
        <v>346527.82566719531</v>
      </c>
      <c r="Q9" s="11">
        <f>L9*C9*J9</f>
        <v>248258.74077649816</v>
      </c>
      <c r="T9" s="6">
        <f>T4*'Residential Heat Pump Measure'!D36*C9</f>
        <v>7843137.2549019605</v>
      </c>
      <c r="U9" s="6">
        <f>'Residential Heat Pump Measure'!D36*U4*C9</f>
        <v>1960784.3137254901</v>
      </c>
    </row>
    <row r="10" spans="1:21">
      <c r="A10">
        <f t="shared" ref="A10:A23" si="7">A9+1</f>
        <v>2</v>
      </c>
      <c r="B10" s="13">
        <f t="shared" si="0"/>
        <v>2027</v>
      </c>
      <c r="C10" s="2">
        <f t="shared" si="1"/>
        <v>0.96116878123798544</v>
      </c>
      <c r="D10" s="11">
        <v>75</v>
      </c>
      <c r="E10" s="4">
        <f>'GHG Impact Summary'!F5</f>
        <v>7878.077373974209</v>
      </c>
      <c r="F10" s="4">
        <f t="shared" si="2"/>
        <v>19695.193434935522</v>
      </c>
      <c r="G10" s="4">
        <f t="shared" si="3"/>
        <v>11817.116060961313</v>
      </c>
      <c r="H10" s="11">
        <f t="shared" ref="H10:H23" si="8">G10*D10*C10</f>
        <v>851868.22815465066</v>
      </c>
      <c r="I10" s="5">
        <f>(18000/3412)*'Residential Heat Pump Measure'!$D$36</f>
        <v>5275.4982415005861</v>
      </c>
      <c r="J10" s="5">
        <f t="shared" si="4"/>
        <v>5275.4982415005861</v>
      </c>
      <c r="K10" s="11">
        <v>80</v>
      </c>
      <c r="L10" s="11">
        <v>49</v>
      </c>
      <c r="M10" s="11">
        <f t="shared" si="5"/>
        <v>654113.10376160673</v>
      </c>
      <c r="N10" s="12">
        <f t="shared" si="6"/>
        <v>1505981.3319162573</v>
      </c>
      <c r="P10" s="11">
        <f t="shared" ref="P10:P23" si="9">C10*J10*K10</f>
        <v>405651.53721650026</v>
      </c>
      <c r="Q10" s="11">
        <f t="shared" ref="Q10:Q23" si="10">L10*C10*J10</f>
        <v>248461.56654510641</v>
      </c>
    </row>
    <row r="11" spans="1:21">
      <c r="A11">
        <f t="shared" si="7"/>
        <v>3</v>
      </c>
      <c r="B11" s="13">
        <f t="shared" si="0"/>
        <v>2028</v>
      </c>
      <c r="C11" s="2">
        <f t="shared" si="1"/>
        <v>0.94232233454704462</v>
      </c>
      <c r="D11" s="11">
        <v>77</v>
      </c>
      <c r="E11" s="4">
        <f>'GHG Impact Summary'!F6</f>
        <v>7878.077373974209</v>
      </c>
      <c r="F11" s="4">
        <f t="shared" si="2"/>
        <v>19695.193434935522</v>
      </c>
      <c r="G11" s="4">
        <f t="shared" si="3"/>
        <v>11817.116060961313</v>
      </c>
      <c r="H11" s="11">
        <f t="shared" si="8"/>
        <v>857435.99435173988</v>
      </c>
      <c r="I11" s="5">
        <f>(18000/3412)*'Residential Heat Pump Measure'!$D$36</f>
        <v>5275.4982415005861</v>
      </c>
      <c r="J11" s="5">
        <f t="shared" si="4"/>
        <v>5275.4982415005861</v>
      </c>
      <c r="K11" s="11">
        <v>91</v>
      </c>
      <c r="L11" s="11">
        <v>50</v>
      </c>
      <c r="M11" s="11">
        <f t="shared" si="5"/>
        <v>700941.99445498211</v>
      </c>
      <c r="N11" s="12">
        <f t="shared" si="6"/>
        <v>1558377.988806722</v>
      </c>
      <c r="P11" s="11">
        <f t="shared" si="9"/>
        <v>452381.0035134991</v>
      </c>
      <c r="Q11" s="11">
        <f t="shared" si="10"/>
        <v>248560.99094148303</v>
      </c>
    </row>
    <row r="12" spans="1:21">
      <c r="A12">
        <f t="shared" si="7"/>
        <v>4</v>
      </c>
      <c r="B12" s="13">
        <f t="shared" si="0"/>
        <v>2029</v>
      </c>
      <c r="C12" s="2">
        <f t="shared" si="1"/>
        <v>0.9238454260265142</v>
      </c>
      <c r="D12" s="11">
        <v>78</v>
      </c>
      <c r="E12" s="4">
        <f>'GHG Impact Summary'!F7</f>
        <v>7878.077373974209</v>
      </c>
      <c r="F12" s="4">
        <f t="shared" si="2"/>
        <v>19695.193434935522</v>
      </c>
      <c r="G12" s="4">
        <f t="shared" si="3"/>
        <v>11817.116060961313</v>
      </c>
      <c r="H12" s="11">
        <f t="shared" si="8"/>
        <v>851540.71249599825</v>
      </c>
      <c r="I12" s="5">
        <f>(18000/3412)*'Residential Heat Pump Measure'!$D$36</f>
        <v>5275.4982415005861</v>
      </c>
      <c r="J12" s="5">
        <f t="shared" si="4"/>
        <v>5275.4982415005861</v>
      </c>
      <c r="K12" s="11">
        <v>102</v>
      </c>
      <c r="L12" s="11">
        <v>51</v>
      </c>
      <c r="M12" s="11">
        <f t="shared" si="5"/>
        <v>745682.97282444895</v>
      </c>
      <c r="N12" s="12">
        <f t="shared" si="6"/>
        <v>1597223.6853204472</v>
      </c>
      <c r="P12" s="11">
        <f t="shared" si="9"/>
        <v>497121.98188296601</v>
      </c>
      <c r="Q12" s="11">
        <f t="shared" si="10"/>
        <v>248560.990941483</v>
      </c>
    </row>
    <row r="13" spans="1:21">
      <c r="A13">
        <f t="shared" si="7"/>
        <v>5</v>
      </c>
      <c r="B13" s="13">
        <f t="shared" si="0"/>
        <v>2030</v>
      </c>
      <c r="C13" s="2">
        <f t="shared" si="1"/>
        <v>0.90573080982991594</v>
      </c>
      <c r="D13" s="11">
        <v>80</v>
      </c>
      <c r="E13" s="4">
        <f>'GHG Impact Summary'!F8</f>
        <v>7878.077373974209</v>
      </c>
      <c r="F13" s="4">
        <f t="shared" si="2"/>
        <v>19695.193434935522</v>
      </c>
      <c r="G13" s="4">
        <f t="shared" si="3"/>
        <v>11817.116060961313</v>
      </c>
      <c r="H13" s="11">
        <f t="shared" si="8"/>
        <v>856250.08797988773</v>
      </c>
      <c r="I13" s="5">
        <f>(18000/3412)*'Residential Heat Pump Measure'!$D$36</f>
        <v>5275.4982415005861</v>
      </c>
      <c r="J13" s="5">
        <f t="shared" si="4"/>
        <v>5275.4982415005861</v>
      </c>
      <c r="K13" s="11">
        <v>112</v>
      </c>
      <c r="L13" s="11">
        <v>52</v>
      </c>
      <c r="M13" s="11">
        <f t="shared" si="5"/>
        <v>783621.73230302229</v>
      </c>
      <c r="N13" s="12">
        <f t="shared" si="6"/>
        <v>1639871.82028291</v>
      </c>
      <c r="P13" s="11">
        <f t="shared" si="9"/>
        <v>535156.30498742987</v>
      </c>
      <c r="Q13" s="11">
        <f t="shared" si="10"/>
        <v>248465.42731559242</v>
      </c>
    </row>
    <row r="14" spans="1:21">
      <c r="A14">
        <f t="shared" si="7"/>
        <v>6</v>
      </c>
      <c r="B14" s="13">
        <f t="shared" si="0"/>
        <v>2031</v>
      </c>
      <c r="C14" s="2">
        <f t="shared" si="1"/>
        <v>0.88797138218619198</v>
      </c>
      <c r="D14" s="11">
        <v>82</v>
      </c>
      <c r="E14" s="4">
        <f>'GHG Impact Summary'!F9</f>
        <v>7878.077373974209</v>
      </c>
      <c r="F14" s="4">
        <f t="shared" si="2"/>
        <v>19695.193434935522</v>
      </c>
      <c r="G14" s="4">
        <f t="shared" si="3"/>
        <v>11817.116060961313</v>
      </c>
      <c r="H14" s="11">
        <f t="shared" si="8"/>
        <v>860447.39233273012</v>
      </c>
      <c r="I14" s="5">
        <f>(18000/3412)*'Residential Heat Pump Measure'!$D$36</f>
        <v>5275.4982415005861</v>
      </c>
      <c r="J14" s="5">
        <f t="shared" si="4"/>
        <v>5275.4982415005861</v>
      </c>
      <c r="K14" s="11">
        <v>122</v>
      </c>
      <c r="L14" s="11">
        <v>53</v>
      </c>
      <c r="M14" s="11">
        <f t="shared" si="5"/>
        <v>819786.00641456759</v>
      </c>
      <c r="N14" s="12">
        <f t="shared" si="6"/>
        <v>1680233.3987472977</v>
      </c>
      <c r="P14" s="11">
        <f t="shared" si="9"/>
        <v>571507.95875758422</v>
      </c>
      <c r="Q14" s="11">
        <f t="shared" si="10"/>
        <v>248278.04765698331</v>
      </c>
    </row>
    <row r="15" spans="1:21">
      <c r="A15">
        <f t="shared" si="7"/>
        <v>7</v>
      </c>
      <c r="B15" s="13">
        <f t="shared" si="0"/>
        <v>2032</v>
      </c>
      <c r="C15" s="2">
        <f t="shared" si="1"/>
        <v>0.87056017861391388</v>
      </c>
      <c r="D15" s="11">
        <v>83</v>
      </c>
      <c r="E15" s="4">
        <f>'GHG Impact Summary'!F10</f>
        <v>7878.077373974209</v>
      </c>
      <c r="F15" s="4">
        <f t="shared" si="2"/>
        <v>19695.193434935522</v>
      </c>
      <c r="G15" s="4">
        <f t="shared" si="3"/>
        <v>11817.116060961313</v>
      </c>
      <c r="H15" s="11">
        <f t="shared" si="8"/>
        <v>853863.38550474192</v>
      </c>
      <c r="I15" s="5">
        <f>(18000/3412)*'Residential Heat Pump Measure'!$D$36</f>
        <v>5275.4982415005861</v>
      </c>
      <c r="J15" s="5">
        <f t="shared" si="4"/>
        <v>5275.4982415005861</v>
      </c>
      <c r="K15" s="11">
        <v>130</v>
      </c>
      <c r="L15" s="11">
        <v>54</v>
      </c>
      <c r="M15" s="11">
        <f t="shared" si="5"/>
        <v>845045.5192172575</v>
      </c>
      <c r="N15" s="12">
        <f t="shared" si="6"/>
        <v>1698908.9047219995</v>
      </c>
      <c r="P15" s="11">
        <f t="shared" si="9"/>
        <v>597043.02988175803</v>
      </c>
      <c r="Q15" s="11">
        <f t="shared" si="10"/>
        <v>248002.4893354995</v>
      </c>
    </row>
    <row r="16" spans="1:21">
      <c r="A16">
        <f t="shared" si="7"/>
        <v>8</v>
      </c>
      <c r="B16" s="13">
        <f t="shared" si="0"/>
        <v>2033</v>
      </c>
      <c r="C16" s="2">
        <f t="shared" si="1"/>
        <v>0.85349037119011162</v>
      </c>
      <c r="D16" s="11">
        <v>85</v>
      </c>
      <c r="E16" s="4">
        <f>'GHG Impact Summary'!F11</f>
        <v>7878.077373974209</v>
      </c>
      <c r="F16" s="4">
        <f t="shared" si="2"/>
        <v>19695.193434935522</v>
      </c>
      <c r="G16" s="4">
        <f t="shared" si="3"/>
        <v>11817.116060961313</v>
      </c>
      <c r="H16" s="11">
        <f t="shared" si="8"/>
        <v>857292.55572765262</v>
      </c>
      <c r="I16" s="5">
        <f>(18000/3412)*'Residential Heat Pump Measure'!$D$36</f>
        <v>5275.4982415005861</v>
      </c>
      <c r="J16" s="5">
        <f t="shared" si="4"/>
        <v>5275.4982415005861</v>
      </c>
      <c r="K16" s="11">
        <v>138</v>
      </c>
      <c r="L16" s="11">
        <v>55</v>
      </c>
      <c r="M16" s="11">
        <f t="shared" si="5"/>
        <v>868999.28180376545</v>
      </c>
      <c r="N16" s="12">
        <f t="shared" si="6"/>
        <v>1726291.8375314181</v>
      </c>
      <c r="P16" s="11">
        <f t="shared" si="9"/>
        <v>621356.99942445406</v>
      </c>
      <c r="Q16" s="11">
        <f t="shared" si="10"/>
        <v>247642.28237931139</v>
      </c>
    </row>
    <row r="17" spans="1:21">
      <c r="A17">
        <f t="shared" si="7"/>
        <v>9</v>
      </c>
      <c r="B17" s="13">
        <f t="shared" si="0"/>
        <v>2034</v>
      </c>
      <c r="C17" s="2">
        <f t="shared" si="1"/>
        <v>0.83675526587265847</v>
      </c>
      <c r="D17" s="11">
        <v>87</v>
      </c>
      <c r="E17" s="4">
        <f>'GHG Impact Summary'!F12</f>
        <v>7878.077373974209</v>
      </c>
      <c r="F17" s="4">
        <f t="shared" si="2"/>
        <v>19695.193434935522</v>
      </c>
      <c r="G17" s="4">
        <f t="shared" si="3"/>
        <v>11817.116060961313</v>
      </c>
      <c r="H17" s="11">
        <f t="shared" si="8"/>
        <v>860258.96595508384</v>
      </c>
      <c r="I17" s="5">
        <f>(18000/3412)*'Residential Heat Pump Measure'!$D$36</f>
        <v>5275.4982415005861</v>
      </c>
      <c r="J17" s="5">
        <f t="shared" si="4"/>
        <v>5275.4982415005861</v>
      </c>
      <c r="K17" s="11">
        <v>145</v>
      </c>
      <c r="L17" s="11">
        <v>56</v>
      </c>
      <c r="M17" s="11">
        <f t="shared" si="5"/>
        <v>887274.48766919062</v>
      </c>
      <c r="N17" s="12">
        <f t="shared" si="6"/>
        <v>1747533.4536242746</v>
      </c>
      <c r="P17" s="11">
        <f t="shared" si="9"/>
        <v>640073.63538324693</v>
      </c>
      <c r="Q17" s="11">
        <f t="shared" si="10"/>
        <v>247200.85228594366</v>
      </c>
    </row>
    <row r="18" spans="1:21">
      <c r="A18">
        <f t="shared" si="7"/>
        <v>10</v>
      </c>
      <c r="B18" s="13">
        <f t="shared" si="0"/>
        <v>2035</v>
      </c>
      <c r="C18" s="2">
        <f t="shared" si="1"/>
        <v>0.82034829987515534</v>
      </c>
      <c r="D18" s="11">
        <v>88</v>
      </c>
      <c r="E18" s="4">
        <f>'GHG Impact Summary'!F13</f>
        <v>7878.077373974209</v>
      </c>
      <c r="F18" s="4">
        <f t="shared" si="2"/>
        <v>19695.193434935522</v>
      </c>
      <c r="G18" s="4">
        <f t="shared" si="3"/>
        <v>11817.116060961313</v>
      </c>
      <c r="H18" s="11">
        <f t="shared" si="8"/>
        <v>853085.29416325653</v>
      </c>
      <c r="I18" s="5">
        <f>(18000/3412)*'Residential Heat Pump Measure'!$D$36</f>
        <v>5275.4982415005861</v>
      </c>
      <c r="J18" s="5">
        <f t="shared" si="4"/>
        <v>5275.4982415005861</v>
      </c>
      <c r="K18" s="11">
        <v>152</v>
      </c>
      <c r="L18" s="11">
        <v>57</v>
      </c>
      <c r="M18" s="11">
        <f t="shared" si="5"/>
        <v>904498.91680255975</v>
      </c>
      <c r="N18" s="12">
        <f t="shared" si="6"/>
        <v>1757584.2109658164</v>
      </c>
      <c r="P18" s="11">
        <f t="shared" si="9"/>
        <v>657817.39403822529</v>
      </c>
      <c r="Q18" s="11">
        <f t="shared" si="10"/>
        <v>246681.52276433451</v>
      </c>
    </row>
    <row r="19" spans="1:21">
      <c r="A19">
        <f t="shared" si="7"/>
        <v>11</v>
      </c>
      <c r="B19" s="13">
        <f t="shared" si="0"/>
        <v>2036</v>
      </c>
      <c r="C19" s="2">
        <f t="shared" si="1"/>
        <v>0.80426303909328967</v>
      </c>
      <c r="D19" s="11">
        <v>90</v>
      </c>
      <c r="E19" s="4">
        <f>'GHG Impact Summary'!F14</f>
        <v>7878.077373974209</v>
      </c>
      <c r="F19" s="4">
        <f t="shared" si="2"/>
        <v>19695.193434935522</v>
      </c>
      <c r="G19" s="4">
        <f t="shared" si="3"/>
        <v>11817.116060961313</v>
      </c>
      <c r="H19" s="11">
        <f t="shared" si="8"/>
        <v>855366.27088561817</v>
      </c>
      <c r="I19" s="5">
        <f>(18000/3412)*'Residential Heat Pump Measure'!$D$36</f>
        <v>5275.4982415005861</v>
      </c>
      <c r="J19" s="5">
        <f t="shared" si="4"/>
        <v>5275.4982415005861</v>
      </c>
      <c r="K19" s="11">
        <v>157</v>
      </c>
      <c r="L19" s="11">
        <v>58</v>
      </c>
      <c r="M19" s="11">
        <f t="shared" si="5"/>
        <v>912220.9734147219</v>
      </c>
      <c r="N19" s="12">
        <f t="shared" si="6"/>
        <v>1767587.2443003401</v>
      </c>
      <c r="P19" s="11">
        <f t="shared" si="9"/>
        <v>666133.45500516903</v>
      </c>
      <c r="Q19" s="11">
        <f t="shared" si="10"/>
        <v>246087.5184095529</v>
      </c>
    </row>
    <row r="20" spans="1:21">
      <c r="A20">
        <f t="shared" si="7"/>
        <v>12</v>
      </c>
      <c r="B20" s="13">
        <f t="shared" si="0"/>
        <v>2037</v>
      </c>
      <c r="C20" s="2">
        <f t="shared" si="1"/>
        <v>0.78849317558165644</v>
      </c>
      <c r="D20" s="11">
        <v>92</v>
      </c>
      <c r="E20" s="4">
        <f>'GHG Impact Summary'!F15</f>
        <v>7878.077373974209</v>
      </c>
      <c r="F20" s="4">
        <f t="shared" si="2"/>
        <v>19695.193434935522</v>
      </c>
      <c r="G20" s="4">
        <f t="shared" si="3"/>
        <v>11817.116060961313</v>
      </c>
      <c r="H20" s="11">
        <f t="shared" si="8"/>
        <v>857229.81395944313</v>
      </c>
      <c r="I20" s="5">
        <f>(18000/3412)*'Residential Heat Pump Measure'!$D$36</f>
        <v>5275.4982415005861</v>
      </c>
      <c r="J20" s="5">
        <f t="shared" si="4"/>
        <v>5275.4982415005861</v>
      </c>
      <c r="K20" s="11">
        <v>162</v>
      </c>
      <c r="L20" s="11">
        <v>60</v>
      </c>
      <c r="M20" s="11">
        <f t="shared" si="5"/>
        <v>923452.14819000557</v>
      </c>
      <c r="N20" s="12">
        <f t="shared" si="6"/>
        <v>1780681.9621494487</v>
      </c>
      <c r="P20" s="11">
        <f t="shared" si="9"/>
        <v>673870.48651703109</v>
      </c>
      <c r="Q20" s="11">
        <f t="shared" si="10"/>
        <v>249581.66167297447</v>
      </c>
    </row>
    <row r="21" spans="1:21">
      <c r="A21">
        <f t="shared" si="7"/>
        <v>13</v>
      </c>
      <c r="B21" s="13">
        <f t="shared" si="0"/>
        <v>2038</v>
      </c>
      <c r="C21" s="2">
        <f t="shared" si="1"/>
        <v>0.77303252508005538</v>
      </c>
      <c r="D21" s="11">
        <v>94</v>
      </c>
      <c r="E21" s="4">
        <f>'GHG Impact Summary'!F16</f>
        <v>7878.077373974209</v>
      </c>
      <c r="F21" s="4">
        <f t="shared" si="2"/>
        <v>19695.193434935522</v>
      </c>
      <c r="G21" s="4">
        <f t="shared" si="3"/>
        <v>11817.116060961313</v>
      </c>
      <c r="H21" s="11">
        <f t="shared" si="8"/>
        <v>858691.41637028614</v>
      </c>
      <c r="I21" s="5">
        <f>(18000/3412)*'Residential Heat Pump Measure'!$D$36</f>
        <v>5275.4982415005861</v>
      </c>
      <c r="J21" s="5">
        <f t="shared" si="4"/>
        <v>5275.4982415005861</v>
      </c>
      <c r="K21" s="11">
        <v>167</v>
      </c>
      <c r="L21" s="11">
        <v>61</v>
      </c>
      <c r="M21" s="11">
        <f t="shared" si="5"/>
        <v>929814.0336836304</v>
      </c>
      <c r="N21" s="12">
        <f t="shared" si="6"/>
        <v>1788505.4500539165</v>
      </c>
      <c r="P21" s="11">
        <f t="shared" si="9"/>
        <v>681047.99835599249</v>
      </c>
      <c r="Q21" s="11">
        <f t="shared" si="10"/>
        <v>248766.035327638</v>
      </c>
    </row>
    <row r="22" spans="1:21">
      <c r="A22">
        <f t="shared" si="7"/>
        <v>14</v>
      </c>
      <c r="B22" s="13">
        <f t="shared" si="0"/>
        <v>2039</v>
      </c>
      <c r="C22" s="2">
        <f t="shared" si="1"/>
        <v>0.75787502458828948</v>
      </c>
      <c r="D22" s="11">
        <v>96</v>
      </c>
      <c r="E22" s="4">
        <f>'GHG Impact Summary'!F17</f>
        <v>7878.077373974209</v>
      </c>
      <c r="F22" s="4">
        <f t="shared" si="2"/>
        <v>19695.193434935522</v>
      </c>
      <c r="G22" s="4">
        <f t="shared" si="3"/>
        <v>11817.116060961313</v>
      </c>
      <c r="H22" s="11">
        <f t="shared" si="8"/>
        <v>859766.12402531761</v>
      </c>
      <c r="I22" s="5">
        <f>(18000/3412)*'Residential Heat Pump Measure'!$D$36</f>
        <v>5275.4982415005861</v>
      </c>
      <c r="J22" s="5">
        <f t="shared" si="4"/>
        <v>5275.4982415005861</v>
      </c>
      <c r="K22" s="11">
        <v>170</v>
      </c>
      <c r="L22" s="11">
        <v>62</v>
      </c>
      <c r="M22" s="11">
        <f t="shared" si="5"/>
        <v>927575.05940231436</v>
      </c>
      <c r="N22" s="12">
        <f t="shared" si="6"/>
        <v>1787341.1834276319</v>
      </c>
      <c r="P22" s="11">
        <f t="shared" si="9"/>
        <v>679688.62111376482</v>
      </c>
      <c r="Q22" s="11">
        <f t="shared" si="10"/>
        <v>247886.43828854954</v>
      </c>
    </row>
    <row r="23" spans="1:21">
      <c r="A23">
        <f t="shared" si="7"/>
        <v>15</v>
      </c>
      <c r="B23" s="13">
        <f t="shared" si="0"/>
        <v>2040</v>
      </c>
      <c r="C23" s="2">
        <f t="shared" si="1"/>
        <v>0.74301472998851925</v>
      </c>
      <c r="D23" s="11">
        <v>97</v>
      </c>
      <c r="E23" s="4">
        <f>'GHG Impact Summary'!F18</f>
        <v>7878.077373974209</v>
      </c>
      <c r="F23" s="4">
        <f t="shared" si="2"/>
        <v>19695.193434935522</v>
      </c>
      <c r="G23" s="4">
        <f t="shared" si="3"/>
        <v>11817.116060961313</v>
      </c>
      <c r="H23" s="11">
        <f t="shared" si="8"/>
        <v>851688.25602998177</v>
      </c>
      <c r="I23" s="5">
        <f>(18000/3412)*'Residential Heat Pump Measure'!$D$36</f>
        <v>5275.4982415005861</v>
      </c>
      <c r="J23" s="5">
        <f t="shared" si="4"/>
        <v>5275.4982415005861</v>
      </c>
      <c r="K23" s="11">
        <v>173</v>
      </c>
      <c r="L23" s="11">
        <v>63</v>
      </c>
      <c r="M23" s="11">
        <f t="shared" si="5"/>
        <v>925066.40474537807</v>
      </c>
      <c r="N23" s="12">
        <f t="shared" si="6"/>
        <v>1776754.6607753597</v>
      </c>
      <c r="P23" s="11">
        <f t="shared" si="9"/>
        <v>678120.71195317968</v>
      </c>
      <c r="Q23" s="11">
        <f t="shared" si="10"/>
        <v>246945.69279219839</v>
      </c>
    </row>
    <row r="24" spans="1:21">
      <c r="H24" s="48">
        <f>SUM(H9:H23)</f>
        <v>12842104.682751229</v>
      </c>
      <c r="I24" s="21"/>
      <c r="J24" s="21"/>
      <c r="K24" s="21"/>
      <c r="L24" s="21"/>
      <c r="M24" s="48">
        <f>SUM(M9:M23)</f>
        <v>12422879.201131143</v>
      </c>
      <c r="N24" s="18">
        <f>SUM(N9:N23)</f>
        <v>25264983.88388237</v>
      </c>
      <c r="P24" s="18">
        <f>SUM(P9:P23)</f>
        <v>8703498.9436979964</v>
      </c>
      <c r="Q24" s="18">
        <f>SUM(Q9:Q23)</f>
        <v>3719380.257433149</v>
      </c>
      <c r="T24" s="32">
        <f>SUM(T9:T23)</f>
        <v>7843137.2549019605</v>
      </c>
      <c r="U24" s="32">
        <f>SUM(U9:U23)</f>
        <v>1960784.3137254901</v>
      </c>
    </row>
    <row r="25" spans="1:21">
      <c r="E25" s="4"/>
      <c r="F25" s="4"/>
      <c r="G25" s="4"/>
    </row>
    <row r="26" spans="1:21">
      <c r="Q26" s="12">
        <f>Q24/2</f>
        <v>1859690.1287165745</v>
      </c>
    </row>
    <row r="28" spans="1:21">
      <c r="J28" s="5"/>
    </row>
    <row r="29" spans="1:21">
      <c r="J29" s="5"/>
    </row>
    <row r="49" spans="4:4">
      <c r="D49" t="s">
        <v>312</v>
      </c>
    </row>
    <row r="50" spans="4:4">
      <c r="D50" t="s">
        <v>313</v>
      </c>
    </row>
  </sheetData>
  <mergeCells count="1">
    <mergeCell ref="D4:M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87A33-2309-490E-B3D2-B7580A71E02B}">
  <sheetPr>
    <tabColor theme="3" tint="0.749992370372631"/>
  </sheetPr>
  <dimension ref="A3:L36"/>
  <sheetViews>
    <sheetView topLeftCell="B1" workbookViewId="0">
      <selection activeCell="L12" sqref="L12"/>
    </sheetView>
  </sheetViews>
  <sheetFormatPr defaultRowHeight="14.45"/>
  <cols>
    <col min="1" max="1" width="28.42578125" customWidth="1"/>
    <col min="2" max="2" width="9.5703125" customWidth="1"/>
    <col min="3" max="3" width="19.42578125" customWidth="1"/>
  </cols>
  <sheetData>
    <row r="3" spans="1:12">
      <c r="A3" s="14" t="s">
        <v>348</v>
      </c>
    </row>
    <row r="4" spans="1:12">
      <c r="A4" t="s">
        <v>314</v>
      </c>
      <c r="B4" s="10">
        <v>1.65</v>
      </c>
      <c r="C4" t="s">
        <v>276</v>
      </c>
      <c r="D4" t="s">
        <v>277</v>
      </c>
    </row>
    <row r="5" spans="1:12">
      <c r="A5" t="s">
        <v>275</v>
      </c>
      <c r="B5" t="s">
        <v>278</v>
      </c>
    </row>
    <row r="6" spans="1:12">
      <c r="A6" t="s">
        <v>349</v>
      </c>
      <c r="B6" s="20">
        <v>2E-3</v>
      </c>
      <c r="C6" t="s">
        <v>287</v>
      </c>
    </row>
    <row r="8" spans="1:12">
      <c r="A8" s="14" t="s">
        <v>350</v>
      </c>
    </row>
    <row r="9" spans="1:12">
      <c r="A9" t="s">
        <v>314</v>
      </c>
      <c r="B9" t="s">
        <v>351</v>
      </c>
      <c r="C9" t="s">
        <v>352</v>
      </c>
      <c r="D9" s="25" t="s">
        <v>272</v>
      </c>
    </row>
    <row r="10" spans="1:12">
      <c r="A10" t="s">
        <v>314</v>
      </c>
      <c r="B10" t="s">
        <v>353</v>
      </c>
      <c r="C10" s="26" t="s">
        <v>354</v>
      </c>
      <c r="D10" s="25" t="s">
        <v>355</v>
      </c>
    </row>
    <row r="11" spans="1:12">
      <c r="A11" t="s">
        <v>356</v>
      </c>
      <c r="B11" s="24">
        <f>AVERAGE(-0.7%, 0%)</f>
        <v>-3.4999999999999996E-3</v>
      </c>
      <c r="C11" t="s">
        <v>321</v>
      </c>
      <c r="D11" s="25" t="s">
        <v>322</v>
      </c>
    </row>
    <row r="12" spans="1:12">
      <c r="A12" t="s">
        <v>235</v>
      </c>
      <c r="B12" s="2">
        <f>'Residential Heat Pump Measure'!D14</f>
        <v>84.469600000000014</v>
      </c>
      <c r="C12" t="s">
        <v>219</v>
      </c>
    </row>
    <row r="13" spans="1:12">
      <c r="A13" t="s">
        <v>357</v>
      </c>
      <c r="B13">
        <v>52.91</v>
      </c>
      <c r="D13" s="25" t="s">
        <v>226</v>
      </c>
      <c r="L13" s="25"/>
    </row>
    <row r="14" spans="1:12">
      <c r="A14" t="s">
        <v>358</v>
      </c>
      <c r="B14" s="2">
        <f>B13/1.055587</f>
        <v>50.12376999716745</v>
      </c>
      <c r="C14" t="s">
        <v>236</v>
      </c>
      <c r="D14" s="25" t="s">
        <v>237</v>
      </c>
    </row>
    <row r="16" spans="1:12">
      <c r="A16" s="14" t="s">
        <v>359</v>
      </c>
    </row>
    <row r="17" spans="1:3">
      <c r="A17" t="s">
        <v>314</v>
      </c>
      <c r="B17" t="s">
        <v>360</v>
      </c>
    </row>
    <row r="18" spans="1:3">
      <c r="A18" t="s">
        <v>356</v>
      </c>
      <c r="B18" s="24">
        <f>AVERAGE(-1.1%, 1.8%)</f>
        <v>3.5000000000000005E-3</v>
      </c>
      <c r="C18" t="s">
        <v>333</v>
      </c>
    </row>
    <row r="19" spans="1:3">
      <c r="A19" t="s">
        <v>230</v>
      </c>
      <c r="B19" s="2">
        <f>'Residential Heat Pump Measure'!D15</f>
        <v>874.77583869133525</v>
      </c>
      <c r="C19" t="s">
        <v>239</v>
      </c>
    </row>
    <row r="20" spans="1:3">
      <c r="A20" t="s">
        <v>361</v>
      </c>
      <c r="B20">
        <v>5.75</v>
      </c>
      <c r="C20" s="25" t="s">
        <v>226</v>
      </c>
    </row>
    <row r="21" spans="1:3">
      <c r="A21" t="s">
        <v>362</v>
      </c>
      <c r="B21" s="2">
        <f>B20*3.785</f>
        <v>21.763750000000002</v>
      </c>
      <c r="C21" t="s">
        <v>244</v>
      </c>
    </row>
    <row r="23" spans="1:3" hidden="1"/>
    <row r="24" spans="1:3" hidden="1">
      <c r="A24" s="14" t="s">
        <v>363</v>
      </c>
    </row>
    <row r="25" spans="1:3" hidden="1">
      <c r="A25" t="s">
        <v>314</v>
      </c>
      <c r="B25" t="s">
        <v>364</v>
      </c>
    </row>
    <row r="26" spans="1:3" hidden="1">
      <c r="A26" t="s">
        <v>356</v>
      </c>
      <c r="B26" t="s">
        <v>364</v>
      </c>
    </row>
    <row r="27" spans="1:3" hidden="1">
      <c r="A27" t="s">
        <v>231</v>
      </c>
      <c r="B27" s="3">
        <f>'Residential Heat Pump Measure'!D17</f>
        <v>23446.658851113716</v>
      </c>
      <c r="C27" t="s">
        <v>246</v>
      </c>
    </row>
    <row r="28" spans="1:3" hidden="1">
      <c r="A28" t="s">
        <v>318</v>
      </c>
      <c r="B28" t="s">
        <v>365</v>
      </c>
    </row>
    <row r="29" spans="1:3" hidden="1"/>
    <row r="31" spans="1:3">
      <c r="A31" s="14" t="s">
        <v>366</v>
      </c>
    </row>
    <row r="32" spans="1:3">
      <c r="A32" t="s">
        <v>367</v>
      </c>
      <c r="B32" t="s">
        <v>368</v>
      </c>
    </row>
    <row r="33" spans="1:3">
      <c r="A33" t="s">
        <v>369</v>
      </c>
      <c r="B33" t="s">
        <v>370</v>
      </c>
    </row>
    <row r="34" spans="1:3">
      <c r="A34" t="s">
        <v>356</v>
      </c>
      <c r="B34" t="s">
        <v>371</v>
      </c>
    </row>
    <row r="35" spans="1:3">
      <c r="A35" t="s">
        <v>372</v>
      </c>
    </row>
    <row r="36" spans="1:3">
      <c r="A36" t="s">
        <v>357</v>
      </c>
      <c r="B36">
        <v>93.8</v>
      </c>
      <c r="C36" s="25" t="s">
        <v>373</v>
      </c>
    </row>
  </sheetData>
  <hyperlinks>
    <hyperlink ref="D9" r:id="rId1" xr:uid="{16FFCD9C-56A0-4F45-8192-1D7DC365C6F3}"/>
    <hyperlink ref="D10" r:id="rId2" xr:uid="{40B4D71E-D083-4648-9B65-CFB31CD50621}"/>
    <hyperlink ref="D13" r:id="rId3" xr:uid="{EBFE25ED-3F5D-4931-AF7D-A8293F7ABBB8}"/>
    <hyperlink ref="C20" r:id="rId4" xr:uid="{277294FD-56BE-46FF-8762-A7C3EE0158F6}"/>
    <hyperlink ref="C36" r:id="rId5" xr:uid="{4EEE9C51-39C6-411F-8C53-B2A2FE529BCF}"/>
    <hyperlink ref="D14" r:id="rId6" xr:uid="{89D1432A-BE45-46C4-81C9-EEFCC142BAE9}"/>
    <hyperlink ref="D11" r:id="rId7" xr:uid="{C86DF831-92FF-4308-876A-7EB3236451E6}"/>
  </hyperlinks>
  <pageMargins left="0.7" right="0.7" top="0.75" bottom="0.75" header="0.3" footer="0.3"/>
  <pageSetup orientation="portrait" r:id="rId8"/>
  <drawing r:id="rId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EE454-3CE5-4FEE-BBA0-CC59D2A723D4}">
  <sheetPr>
    <tabColor theme="3" tint="0.749992370372631"/>
  </sheetPr>
  <dimension ref="B2:O76"/>
  <sheetViews>
    <sheetView topLeftCell="A41" zoomScale="90" zoomScaleNormal="90" workbookViewId="0">
      <selection activeCell="E61" sqref="E61"/>
    </sheetView>
  </sheetViews>
  <sheetFormatPr defaultRowHeight="14.45"/>
  <cols>
    <col min="4" max="4" width="12.42578125" customWidth="1"/>
    <col min="5" max="5" width="10.42578125" customWidth="1"/>
    <col min="6" max="6" width="8.85546875" customWidth="1"/>
    <col min="7" max="7" width="11.42578125" customWidth="1"/>
    <col min="8" max="8" width="9.5703125" customWidth="1"/>
    <col min="10" max="10" width="10.42578125" customWidth="1"/>
    <col min="11" max="11" width="15.5703125" customWidth="1"/>
    <col min="12" max="12" width="11.5703125" customWidth="1"/>
    <col min="14" max="14" width="14.42578125" customWidth="1"/>
  </cols>
  <sheetData>
    <row r="2" spans="2:14">
      <c r="B2" s="14" t="s">
        <v>374</v>
      </c>
    </row>
    <row r="3" spans="2:14" ht="87">
      <c r="C3" s="16" t="s">
        <v>375</v>
      </c>
      <c r="D3" s="17" t="s">
        <v>376</v>
      </c>
      <c r="E3" s="17" t="s">
        <v>377</v>
      </c>
      <c r="F3" s="17" t="s">
        <v>378</v>
      </c>
      <c r="G3" s="17" t="s">
        <v>379</v>
      </c>
      <c r="H3" s="17" t="s">
        <v>380</v>
      </c>
      <c r="I3" s="17" t="s">
        <v>381</v>
      </c>
      <c r="J3" s="17" t="s">
        <v>382</v>
      </c>
      <c r="K3" s="17" t="s">
        <v>383</v>
      </c>
      <c r="L3" s="17" t="s">
        <v>384</v>
      </c>
      <c r="M3" s="17" t="s">
        <v>299</v>
      </c>
      <c r="N3" s="17" t="s">
        <v>385</v>
      </c>
    </row>
    <row r="4" spans="2:14">
      <c r="B4">
        <v>1</v>
      </c>
      <c r="C4" s="13">
        <v>2026</v>
      </c>
      <c r="D4" s="4">
        <f>'Residential Heat Pump Measure'!$D$5*'Residential Heat Pump Measure'!$D$36</f>
        <v>577617.32851985563</v>
      </c>
      <c r="E4" s="4">
        <f>'Residential Heat Pump Measure'!$D$7*'Residential Heat Pump Measure'!$D$36</f>
        <v>5907.2116991095936</v>
      </c>
      <c r="F4" s="4">
        <f>('Residential Heat Pump Measure'!$D$33*'Residential Heat Pump Measure'!$D$36)/1000</f>
        <v>7878.077373974209</v>
      </c>
      <c r="G4" s="5">
        <f>F4*'Electric Emissions Intensity'!I4</f>
        <v>3529.3786635404458</v>
      </c>
      <c r="H4" s="5">
        <f>E4-G4</f>
        <v>2377.8330355691478</v>
      </c>
      <c r="I4" s="6">
        <f>'SCC in 2021 CDN'!E13</f>
        <v>275</v>
      </c>
      <c r="J4" s="12">
        <f>'Other Fuel Impact Heating Oil'!F16</f>
        <v>110</v>
      </c>
      <c r="K4" s="12">
        <v>0</v>
      </c>
      <c r="L4" s="12">
        <f>I4-K4</f>
        <v>275</v>
      </c>
      <c r="M4" s="2">
        <f>1/(1+0.02)^B4</f>
        <v>0.98039215686274506</v>
      </c>
      <c r="N4" s="11">
        <f>H4*L4*M4</f>
        <v>641082.43606030941</v>
      </c>
    </row>
    <row r="5" spans="2:14">
      <c r="B5">
        <f>B4+1</f>
        <v>2</v>
      </c>
      <c r="C5" s="13">
        <f>C4+1</f>
        <v>2027</v>
      </c>
      <c r="D5" s="4">
        <f>'Residential Heat Pump Measure'!$D$5*'Residential Heat Pump Measure'!$D$36</f>
        <v>577617.32851985563</v>
      </c>
      <c r="E5" s="4">
        <f>'Residential Heat Pump Measure'!$D$7*'Residential Heat Pump Measure'!$D$36</f>
        <v>5907.2116991095936</v>
      </c>
      <c r="F5" s="4">
        <f>('Residential Heat Pump Measure'!$D$33*'Residential Heat Pump Measure'!$D$36)/1000</f>
        <v>7878.077373974209</v>
      </c>
      <c r="G5" s="5">
        <f>F5*'Electric Emissions Intensity'!I5</f>
        <v>2796.7174677608441</v>
      </c>
      <c r="H5" s="5">
        <f t="shared" ref="H5:H18" si="0">E5-G5</f>
        <v>3110.4942313487495</v>
      </c>
      <c r="I5" s="6">
        <f>'SCC in 2021 CDN'!E14</f>
        <v>280</v>
      </c>
      <c r="J5" s="12">
        <f>'Other Fuel Impact Heating Oil'!F17</f>
        <v>125</v>
      </c>
      <c r="K5" s="12">
        <v>0</v>
      </c>
      <c r="L5" s="12">
        <f t="shared" ref="L5:L18" si="1">I5-K5</f>
        <v>280</v>
      </c>
      <c r="M5" s="2">
        <f t="shared" ref="M5:M18" si="2">1/(1+0.02)^B5</f>
        <v>0.96116878123798544</v>
      </c>
      <c r="N5" s="11">
        <f t="shared" ref="N5:N18" si="3">H5*L5*M5</f>
        <v>837118.78583011334</v>
      </c>
    </row>
    <row r="6" spans="2:14">
      <c r="B6">
        <f t="shared" ref="B6:B18" si="4">B5+1</f>
        <v>3</v>
      </c>
      <c r="C6" s="13">
        <f t="shared" ref="C6:C18" si="5">C5+1</f>
        <v>2028</v>
      </c>
      <c r="D6" s="4">
        <f>'Residential Heat Pump Measure'!$D$5*'Residential Heat Pump Measure'!$D$36</f>
        <v>577617.32851985563</v>
      </c>
      <c r="E6" s="4">
        <f>'Residential Heat Pump Measure'!$D$7*'Residential Heat Pump Measure'!$D$36</f>
        <v>5907.2116991095936</v>
      </c>
      <c r="F6" s="4">
        <f>('Residential Heat Pump Measure'!$D$33*'Residential Heat Pump Measure'!$D$36)/1000</f>
        <v>7878.077373974209</v>
      </c>
      <c r="G6" s="5">
        <f>F6*'Electric Emissions Intensity'!I6</f>
        <v>3395.451348182884</v>
      </c>
      <c r="H6" s="5">
        <f t="shared" si="0"/>
        <v>2511.7603509267096</v>
      </c>
      <c r="I6" s="6">
        <f>'SCC in 2021 CDN'!E15</f>
        <v>285</v>
      </c>
      <c r="J6" s="12">
        <f>'Other Fuel Impact Heating Oil'!F18</f>
        <v>140</v>
      </c>
      <c r="K6" s="12">
        <v>0</v>
      </c>
      <c r="L6" s="12">
        <f t="shared" si="1"/>
        <v>285</v>
      </c>
      <c r="M6" s="2">
        <f t="shared" si="2"/>
        <v>0.94232233454704462</v>
      </c>
      <c r="N6" s="11">
        <f t="shared" si="3"/>
        <v>674563.04514676891</v>
      </c>
    </row>
    <row r="7" spans="2:14">
      <c r="B7">
        <f t="shared" si="4"/>
        <v>4</v>
      </c>
      <c r="C7" s="13">
        <f t="shared" si="5"/>
        <v>2029</v>
      </c>
      <c r="D7" s="4">
        <f>'Residential Heat Pump Measure'!$D$5*'Residential Heat Pump Measure'!$D$36</f>
        <v>577617.32851985563</v>
      </c>
      <c r="E7" s="4">
        <f>'Residential Heat Pump Measure'!$D$7*'Residential Heat Pump Measure'!$D$36</f>
        <v>5907.2116991095936</v>
      </c>
      <c r="F7" s="4">
        <f>('Residential Heat Pump Measure'!$D$33*'Residential Heat Pump Measure'!$D$36)/1000</f>
        <v>7878.077373974209</v>
      </c>
      <c r="G7" s="5">
        <f>F7*'Electric Emissions Intensity'!I7</f>
        <v>3096.084407971864</v>
      </c>
      <c r="H7" s="5">
        <f t="shared" si="0"/>
        <v>2811.1272911377296</v>
      </c>
      <c r="I7" s="6">
        <f>'SCC in 2021 CDN'!E16</f>
        <v>289</v>
      </c>
      <c r="J7" s="12">
        <f>'Other Fuel Impact Heating Oil'!F19</f>
        <v>155</v>
      </c>
      <c r="K7" s="12">
        <v>0</v>
      </c>
      <c r="L7" s="12">
        <f t="shared" si="1"/>
        <v>289</v>
      </c>
      <c r="M7" s="2">
        <f t="shared" si="2"/>
        <v>0.9238454260265142</v>
      </c>
      <c r="N7" s="11">
        <f t="shared" si="3"/>
        <v>750546.6089799141</v>
      </c>
    </row>
    <row r="8" spans="2:14">
      <c r="B8">
        <f t="shared" si="4"/>
        <v>5</v>
      </c>
      <c r="C8" s="13">
        <f t="shared" si="5"/>
        <v>2030</v>
      </c>
      <c r="D8" s="4">
        <f>'Residential Heat Pump Measure'!$D$5*'Residential Heat Pump Measure'!$D$36</f>
        <v>577617.32851985563</v>
      </c>
      <c r="E8" s="4">
        <f>'Residential Heat Pump Measure'!$D$7*'Residential Heat Pump Measure'!$D$36</f>
        <v>5907.2116991095936</v>
      </c>
      <c r="F8" s="4">
        <f>('Residential Heat Pump Measure'!$D$33*'Residential Heat Pump Measure'!$D$36)/1000</f>
        <v>7878.077373974209</v>
      </c>
      <c r="G8" s="5">
        <f>F8*'Electric Emissions Intensity'!I8</f>
        <v>677.51465416178189</v>
      </c>
      <c r="H8" s="5">
        <f t="shared" si="0"/>
        <v>5229.6970449478122</v>
      </c>
      <c r="I8" s="6">
        <f>'SCC in 2021 CDN'!E17</f>
        <v>294</v>
      </c>
      <c r="J8" s="12">
        <f>'Other Fuel Impact Heating Oil'!F20</f>
        <v>170</v>
      </c>
      <c r="K8" s="12">
        <v>0</v>
      </c>
      <c r="L8" s="12">
        <f t="shared" si="1"/>
        <v>294</v>
      </c>
      <c r="M8" s="2">
        <f t="shared" si="2"/>
        <v>0.90573080982991594</v>
      </c>
      <c r="N8" s="11">
        <f t="shared" si="3"/>
        <v>1392589.1354675959</v>
      </c>
    </row>
    <row r="9" spans="2:14">
      <c r="B9">
        <f t="shared" si="4"/>
        <v>6</v>
      </c>
      <c r="C9" s="13">
        <f t="shared" si="5"/>
        <v>2031</v>
      </c>
      <c r="D9" s="4">
        <f>'Residential Heat Pump Measure'!$D$5*'Residential Heat Pump Measure'!$D$36</f>
        <v>577617.32851985563</v>
      </c>
      <c r="E9" s="4">
        <f>'Residential Heat Pump Measure'!$D$7*'Residential Heat Pump Measure'!$D$36</f>
        <v>5907.2116991095936</v>
      </c>
      <c r="F9" s="4">
        <f>('Residential Heat Pump Measure'!$D$33*'Residential Heat Pump Measure'!$D$36)/1000</f>
        <v>7878.077373974209</v>
      </c>
      <c r="G9" s="5">
        <f>F9*'Electric Emissions Intensity'!I9</f>
        <v>1252.6143024618993</v>
      </c>
      <c r="H9" s="5">
        <f t="shared" si="0"/>
        <v>4654.597396647694</v>
      </c>
      <c r="I9" s="6">
        <f>'SCC in 2021 CDN'!E18</f>
        <v>299</v>
      </c>
      <c r="J9" s="12">
        <f>J8*1.02</f>
        <v>173.4</v>
      </c>
      <c r="K9" s="12">
        <v>0</v>
      </c>
      <c r="L9" s="12">
        <f t="shared" si="1"/>
        <v>299</v>
      </c>
      <c r="M9" s="2">
        <f t="shared" si="2"/>
        <v>0.88797138218619198</v>
      </c>
      <c r="N9" s="11">
        <f t="shared" si="3"/>
        <v>1235811.6358626296</v>
      </c>
    </row>
    <row r="10" spans="2:14">
      <c r="B10">
        <f t="shared" si="4"/>
        <v>7</v>
      </c>
      <c r="C10" s="13">
        <f t="shared" si="5"/>
        <v>2032</v>
      </c>
      <c r="D10" s="4">
        <f>'Residential Heat Pump Measure'!$D$5*'Residential Heat Pump Measure'!$D$36</f>
        <v>577617.32851985563</v>
      </c>
      <c r="E10" s="4">
        <f>'Residential Heat Pump Measure'!$D$7*'Residential Heat Pump Measure'!$D$36</f>
        <v>5907.2116991095936</v>
      </c>
      <c r="F10" s="4">
        <f>('Residential Heat Pump Measure'!$D$33*'Residential Heat Pump Measure'!$D$36)/1000</f>
        <v>7878.077373974209</v>
      </c>
      <c r="G10" s="5">
        <f>F10*'Electric Emissions Intensity'!I10</f>
        <v>2520.9847596717468</v>
      </c>
      <c r="H10" s="5">
        <f t="shared" si="0"/>
        <v>3386.2269394378468</v>
      </c>
      <c r="I10" s="6">
        <f>'SCC in 2021 CDN'!E19</f>
        <v>303</v>
      </c>
      <c r="J10" s="12">
        <f t="shared" ref="J10:J18" si="6">J9*1.02</f>
        <v>176.86799999999999</v>
      </c>
      <c r="K10" s="12">
        <v>0</v>
      </c>
      <c r="L10" s="12">
        <f t="shared" si="1"/>
        <v>303</v>
      </c>
      <c r="M10" s="2">
        <f t="shared" si="2"/>
        <v>0.87056017861391388</v>
      </c>
      <c r="N10" s="11">
        <f t="shared" si="3"/>
        <v>893218.04175495042</v>
      </c>
    </row>
    <row r="11" spans="2:14">
      <c r="B11">
        <f t="shared" si="4"/>
        <v>8</v>
      </c>
      <c r="C11" s="13">
        <f t="shared" si="5"/>
        <v>2033</v>
      </c>
      <c r="D11" s="4">
        <f>'Residential Heat Pump Measure'!$D$5*'Residential Heat Pump Measure'!$D$36</f>
        <v>577617.32851985563</v>
      </c>
      <c r="E11" s="4">
        <f>'Residential Heat Pump Measure'!$D$7*'Residential Heat Pump Measure'!$D$36</f>
        <v>5907.2116991095936</v>
      </c>
      <c r="F11" s="4">
        <f>('Residential Heat Pump Measure'!$D$33*'Residential Heat Pump Measure'!$D$36)/1000</f>
        <v>7878.077373974209</v>
      </c>
      <c r="G11" s="5">
        <f>F11*'Electric Emissions Intensity'!I11</f>
        <v>2836.1078546307153</v>
      </c>
      <c r="H11" s="5">
        <f t="shared" si="0"/>
        <v>3071.1038444788783</v>
      </c>
      <c r="I11" s="6">
        <f>'SCC in 2021 CDN'!E20</f>
        <v>308</v>
      </c>
      <c r="J11" s="12">
        <f t="shared" si="6"/>
        <v>180.40536</v>
      </c>
      <c r="K11" s="12">
        <v>0</v>
      </c>
      <c r="L11" s="12">
        <f t="shared" si="1"/>
        <v>308</v>
      </c>
      <c r="M11" s="2">
        <f t="shared" si="2"/>
        <v>0.85349037119011162</v>
      </c>
      <c r="N11" s="11">
        <f t="shared" si="3"/>
        <v>807316.52853779821</v>
      </c>
    </row>
    <row r="12" spans="2:14">
      <c r="B12">
        <f t="shared" si="4"/>
        <v>9</v>
      </c>
      <c r="C12" s="13">
        <f t="shared" si="5"/>
        <v>2034</v>
      </c>
      <c r="D12" s="4">
        <f>'Residential Heat Pump Measure'!$D$5*'Residential Heat Pump Measure'!$D$36</f>
        <v>577617.32851985563</v>
      </c>
      <c r="E12" s="4">
        <f>'Residential Heat Pump Measure'!$D$7*'Residential Heat Pump Measure'!$D$36</f>
        <v>5907.2116991095936</v>
      </c>
      <c r="F12" s="4">
        <f>('Residential Heat Pump Measure'!$D$33*'Residential Heat Pump Measure'!$D$36)/1000</f>
        <v>7878.077373974209</v>
      </c>
      <c r="G12" s="5">
        <f>F12*'Electric Emissions Intensity'!I12</f>
        <v>2907.0105509964833</v>
      </c>
      <c r="H12" s="5">
        <f t="shared" si="0"/>
        <v>3000.2011481131103</v>
      </c>
      <c r="I12" s="6">
        <f>'SCC in 2021 CDN'!E21</f>
        <v>313</v>
      </c>
      <c r="J12" s="12">
        <f t="shared" si="6"/>
        <v>184.01346720000001</v>
      </c>
      <c r="K12" s="12">
        <v>0</v>
      </c>
      <c r="L12" s="12">
        <f t="shared" si="1"/>
        <v>313</v>
      </c>
      <c r="M12" s="2">
        <f t="shared" si="2"/>
        <v>0.83675526587265847</v>
      </c>
      <c r="N12" s="11">
        <f t="shared" si="3"/>
        <v>785765.87622994324</v>
      </c>
    </row>
    <row r="13" spans="2:14">
      <c r="B13">
        <f t="shared" si="4"/>
        <v>10</v>
      </c>
      <c r="C13" s="13">
        <f t="shared" si="5"/>
        <v>2035</v>
      </c>
      <c r="D13" s="4">
        <f>'Residential Heat Pump Measure'!$D$5*'Residential Heat Pump Measure'!$D$36</f>
        <v>577617.32851985563</v>
      </c>
      <c r="E13" s="4">
        <f>'Residential Heat Pump Measure'!$D$7*'Residential Heat Pump Measure'!$D$36</f>
        <v>5907.2116991095936</v>
      </c>
      <c r="F13" s="4">
        <f>('Residential Heat Pump Measure'!$D$33*'Residential Heat Pump Measure'!$D$36)/1000</f>
        <v>7878.077373974209</v>
      </c>
      <c r="G13" s="5">
        <f>F13*'Electric Emissions Intensity'!I13</f>
        <v>2119.2028135990622</v>
      </c>
      <c r="H13" s="5">
        <f t="shared" si="0"/>
        <v>3788.0088855105314</v>
      </c>
      <c r="I13" s="6">
        <f>'SCC in 2021 CDN'!E22</f>
        <v>317</v>
      </c>
      <c r="J13" s="12">
        <f t="shared" si="6"/>
        <v>187.69373654400002</v>
      </c>
      <c r="K13" s="12">
        <v>0</v>
      </c>
      <c r="L13" s="12">
        <f t="shared" si="1"/>
        <v>317</v>
      </c>
      <c r="M13" s="2">
        <f t="shared" si="2"/>
        <v>0.82034829987515534</v>
      </c>
      <c r="N13" s="11">
        <f t="shared" si="3"/>
        <v>985073.26777755329</v>
      </c>
    </row>
    <row r="14" spans="2:14">
      <c r="B14">
        <f t="shared" si="4"/>
        <v>11</v>
      </c>
      <c r="C14" s="13">
        <f t="shared" si="5"/>
        <v>2036</v>
      </c>
      <c r="D14" s="4">
        <f>'Residential Heat Pump Measure'!$D$5*'Residential Heat Pump Measure'!$D$36</f>
        <v>577617.32851985563</v>
      </c>
      <c r="E14" s="4">
        <f>'Residential Heat Pump Measure'!$D$7*'Residential Heat Pump Measure'!$D$36</f>
        <v>5907.2116991095936</v>
      </c>
      <c r="F14" s="4">
        <f>('Residential Heat Pump Measure'!$D$33*'Residential Heat Pump Measure'!$D$36)/1000</f>
        <v>7878.077373974209</v>
      </c>
      <c r="G14" s="5">
        <f>F14*'Electric Emissions Intensity'!I14</f>
        <v>2796.7174677608441</v>
      </c>
      <c r="H14" s="5">
        <f t="shared" si="0"/>
        <v>3110.4942313487495</v>
      </c>
      <c r="I14" s="6">
        <f>'SCC in 2021 CDN'!E23</f>
        <v>322</v>
      </c>
      <c r="J14" s="12">
        <f t="shared" si="6"/>
        <v>191.44761127488002</v>
      </c>
      <c r="K14" s="12">
        <v>0</v>
      </c>
      <c r="L14" s="12">
        <f t="shared" si="1"/>
        <v>322</v>
      </c>
      <c r="M14" s="2">
        <f t="shared" si="2"/>
        <v>0.80426303909328967</v>
      </c>
      <c r="N14" s="11">
        <f t="shared" si="3"/>
        <v>805533.08503491466</v>
      </c>
    </row>
    <row r="15" spans="2:14">
      <c r="B15">
        <f t="shared" si="4"/>
        <v>12</v>
      </c>
      <c r="C15" s="13">
        <f t="shared" si="5"/>
        <v>2037</v>
      </c>
      <c r="D15" s="4">
        <f>'Residential Heat Pump Measure'!$D$5*'Residential Heat Pump Measure'!$D$36</f>
        <v>577617.32851985563</v>
      </c>
      <c r="E15" s="4">
        <f>'Residential Heat Pump Measure'!$D$7*'Residential Heat Pump Measure'!$D$36</f>
        <v>5907.2116991095936</v>
      </c>
      <c r="F15" s="4">
        <f>('Residential Heat Pump Measure'!$D$33*'Residential Heat Pump Measure'!$D$36)/1000</f>
        <v>7878.077373974209</v>
      </c>
      <c r="G15" s="5">
        <f>F15*'Electric Emissions Intensity'!I15</f>
        <v>2268.8862837045722</v>
      </c>
      <c r="H15" s="5">
        <f t="shared" si="0"/>
        <v>3638.3254154050214</v>
      </c>
      <c r="I15" s="6">
        <f>'SCC in 2021 CDN'!E24</f>
        <v>327</v>
      </c>
      <c r="J15" s="12">
        <f t="shared" si="6"/>
        <v>195.27656350037762</v>
      </c>
      <c r="K15" s="12">
        <v>0</v>
      </c>
      <c r="L15" s="12">
        <f t="shared" si="1"/>
        <v>327</v>
      </c>
      <c r="M15" s="2">
        <f t="shared" si="2"/>
        <v>0.78849317558165644</v>
      </c>
      <c r="N15" s="11">
        <f t="shared" si="3"/>
        <v>938095.88671363448</v>
      </c>
    </row>
    <row r="16" spans="2:14">
      <c r="B16">
        <f t="shared" si="4"/>
        <v>13</v>
      </c>
      <c r="C16" s="13">
        <f t="shared" si="5"/>
        <v>2038</v>
      </c>
      <c r="D16" s="4">
        <f>'Residential Heat Pump Measure'!$D$5*'Residential Heat Pump Measure'!$D$36</f>
        <v>577617.32851985563</v>
      </c>
      <c r="E16" s="4">
        <f>'Residential Heat Pump Measure'!$D$7*'Residential Heat Pump Measure'!$D$36</f>
        <v>5907.2116991095936</v>
      </c>
      <c r="F16" s="4">
        <f>('Residential Heat Pump Measure'!$D$33*'Residential Heat Pump Measure'!$D$36)/1000</f>
        <v>7878.077373974209</v>
      </c>
      <c r="G16" s="5">
        <f>F16*'Electric Emissions Intensity'!I16</f>
        <v>1882.8604923798359</v>
      </c>
      <c r="H16" s="5">
        <f t="shared" si="0"/>
        <v>4024.3512067297579</v>
      </c>
      <c r="I16" s="6">
        <f>'SCC in 2021 CDN'!E25</f>
        <v>331</v>
      </c>
      <c r="J16" s="12">
        <f t="shared" si="6"/>
        <v>199.18209477038516</v>
      </c>
      <c r="K16" s="12">
        <v>0</v>
      </c>
      <c r="L16" s="12">
        <f t="shared" si="1"/>
        <v>331</v>
      </c>
      <c r="M16" s="2">
        <f t="shared" si="2"/>
        <v>0.77303252508005538</v>
      </c>
      <c r="N16" s="11">
        <f t="shared" si="3"/>
        <v>1029725.8981737472</v>
      </c>
    </row>
    <row r="17" spans="2:14">
      <c r="B17">
        <f t="shared" si="4"/>
        <v>14</v>
      </c>
      <c r="C17" s="13">
        <f t="shared" si="5"/>
        <v>2039</v>
      </c>
      <c r="D17" s="4">
        <f>'Residential Heat Pump Measure'!$D$5*'Residential Heat Pump Measure'!$D$36</f>
        <v>577617.32851985563</v>
      </c>
      <c r="E17" s="4">
        <f>'Residential Heat Pump Measure'!$D$7*'Residential Heat Pump Measure'!$D$36</f>
        <v>5907.2116991095936</v>
      </c>
      <c r="F17" s="4">
        <f>('Residential Heat Pump Measure'!$D$33*'Residential Heat Pump Measure'!$D$36)/1000</f>
        <v>7878.077373974209</v>
      </c>
      <c r="G17" s="5">
        <f>F17*'Electric Emissions Intensity'!I17</f>
        <v>1717.4208675263776</v>
      </c>
      <c r="H17" s="5">
        <f t="shared" si="0"/>
        <v>4189.7908315832155</v>
      </c>
      <c r="I17" s="6">
        <f>'SCC in 2021 CDN'!E26</f>
        <v>336</v>
      </c>
      <c r="J17" s="12">
        <f t="shared" si="6"/>
        <v>203.16573666579288</v>
      </c>
      <c r="K17" s="12">
        <v>0</v>
      </c>
      <c r="L17" s="12">
        <f t="shared" si="1"/>
        <v>336</v>
      </c>
      <c r="M17" s="2">
        <f t="shared" si="2"/>
        <v>0.75787502458828948</v>
      </c>
      <c r="N17" s="11">
        <f t="shared" si="3"/>
        <v>1066913.5107139889</v>
      </c>
    </row>
    <row r="18" spans="2:14">
      <c r="B18">
        <f t="shared" si="4"/>
        <v>15</v>
      </c>
      <c r="C18" s="13">
        <f t="shared" si="5"/>
        <v>2040</v>
      </c>
      <c r="D18" s="4">
        <f>'Residential Heat Pump Measure'!$D$5*'Residential Heat Pump Measure'!$D$36</f>
        <v>577617.32851985563</v>
      </c>
      <c r="E18" s="4">
        <f>'Residential Heat Pump Measure'!$D$7*'Residential Heat Pump Measure'!$D$36</f>
        <v>5907.2116991095936</v>
      </c>
      <c r="F18" s="4">
        <f>('Residential Heat Pump Measure'!$D$33*'Residential Heat Pump Measure'!$D$36)/1000</f>
        <v>7878.077373974209</v>
      </c>
      <c r="G18" s="5">
        <f>F18*'Electric Emissions Intensity'!I18</f>
        <v>1741.0550996483003</v>
      </c>
      <c r="H18" s="5">
        <f t="shared" si="0"/>
        <v>4166.1565994612938</v>
      </c>
      <c r="I18" s="6">
        <f>'SCC in 2021 CDN'!E27</f>
        <v>341</v>
      </c>
      <c r="J18" s="12">
        <f t="shared" si="6"/>
        <v>207.22905139910873</v>
      </c>
      <c r="K18" s="12">
        <v>0</v>
      </c>
      <c r="L18" s="12">
        <f t="shared" si="1"/>
        <v>341</v>
      </c>
      <c r="M18" s="2">
        <f t="shared" si="2"/>
        <v>0.74301472998851925</v>
      </c>
      <c r="N18" s="11">
        <f t="shared" si="3"/>
        <v>1055570.8608059697</v>
      </c>
    </row>
    <row r="19" spans="2:14">
      <c r="M19" s="14" t="s">
        <v>193</v>
      </c>
      <c r="N19" s="18">
        <f>SUM(N4:N18)</f>
        <v>13898924.603089832</v>
      </c>
    </row>
    <row r="20" spans="2:14">
      <c r="D20" s="31"/>
    </row>
    <row r="21" spans="2:14">
      <c r="B21" s="14" t="s">
        <v>350</v>
      </c>
    </row>
    <row r="22" spans="2:14" ht="87">
      <c r="C22" s="16" t="s">
        <v>375</v>
      </c>
      <c r="D22" s="17" t="s">
        <v>386</v>
      </c>
      <c r="E22" s="17" t="s">
        <v>387</v>
      </c>
      <c r="F22" s="17" t="s">
        <v>378</v>
      </c>
      <c r="G22" s="17" t="s">
        <v>379</v>
      </c>
      <c r="H22" s="17" t="s">
        <v>380</v>
      </c>
      <c r="I22" s="17" t="s">
        <v>381</v>
      </c>
      <c r="J22" s="17" t="s">
        <v>388</v>
      </c>
      <c r="K22" s="17" t="s">
        <v>383</v>
      </c>
      <c r="L22" s="17" t="s">
        <v>384</v>
      </c>
      <c r="M22" s="17" t="s">
        <v>299</v>
      </c>
      <c r="N22" s="17" t="s">
        <v>385</v>
      </c>
    </row>
    <row r="23" spans="2:14">
      <c r="B23">
        <v>1</v>
      </c>
      <c r="C23" s="13">
        <v>2026</v>
      </c>
      <c r="D23" s="4">
        <f>'Residential Heat Pump Measure'!$D$14*'Residential Heat Pump Measure'!$D$36</f>
        <v>84469.60000000002</v>
      </c>
      <c r="E23" s="4">
        <f>'Residential Heat Pump Measure'!$D$22*'Residential Heat Pump Measure'!$D$36</f>
        <v>4233.9348021527367</v>
      </c>
      <c r="F23" s="4">
        <f>('Residential Heat Pump Measure'!$D$33*'Residential Heat Pump Measure'!$D$36)/1000</f>
        <v>7878.077373974209</v>
      </c>
      <c r="G23" s="5">
        <f>F23*'Electric Emissions Intensity'!I4</f>
        <v>3529.3786635404458</v>
      </c>
      <c r="H23" s="5">
        <f t="shared" ref="H23:H37" si="7">E23-G23</f>
        <v>704.55613861229085</v>
      </c>
      <c r="I23" s="6">
        <f>'SCC in 2021 CDN'!E13</f>
        <v>275</v>
      </c>
      <c r="J23" s="12">
        <f>'Other Fuel Impact Heating Oil'!F16</f>
        <v>110</v>
      </c>
      <c r="K23" s="12">
        <v>0</v>
      </c>
      <c r="L23" s="12">
        <f t="shared" ref="L23:L37" si="8">I23-K23</f>
        <v>275</v>
      </c>
      <c r="M23" s="2">
        <f t="shared" ref="M23:M37" si="9">1/(1+0.02)^B23</f>
        <v>0.98039215686274506</v>
      </c>
      <c r="N23" s="6">
        <f t="shared" ref="N23:N37" si="10">H23*L23*M23</f>
        <v>189953.8609003725</v>
      </c>
    </row>
    <row r="24" spans="2:14">
      <c r="B24">
        <v>2</v>
      </c>
      <c r="C24" s="13">
        <v>2027</v>
      </c>
      <c r="D24" s="4">
        <f>'Residential Heat Pump Measure'!$D$14*'Residential Heat Pump Measure'!$D$36</f>
        <v>84469.60000000002</v>
      </c>
      <c r="E24" s="4">
        <f>'Residential Heat Pump Measure'!$D$22*'Residential Heat Pump Measure'!$D$36</f>
        <v>4233.9348021527367</v>
      </c>
      <c r="F24" s="4">
        <f>('Residential Heat Pump Measure'!$D$33*'Residential Heat Pump Measure'!$D$36)/1000</f>
        <v>7878.077373974209</v>
      </c>
      <c r="G24" s="5">
        <f>F24*'Electric Emissions Intensity'!I5</f>
        <v>2796.7174677608441</v>
      </c>
      <c r="H24" s="5">
        <f t="shared" si="7"/>
        <v>1437.2173343918926</v>
      </c>
      <c r="I24" s="6">
        <f>'SCC in 2021 CDN'!E14</f>
        <v>280</v>
      </c>
      <c r="J24" s="12">
        <f>'Other Fuel Impact Heating Oil'!F17</f>
        <v>125</v>
      </c>
      <c r="K24" s="12">
        <v>0</v>
      </c>
      <c r="L24" s="12">
        <f t="shared" si="8"/>
        <v>280</v>
      </c>
      <c r="M24" s="2">
        <f t="shared" si="9"/>
        <v>0.96116878123798544</v>
      </c>
      <c r="N24" s="6">
        <f t="shared" si="10"/>
        <v>386794.36142803729</v>
      </c>
    </row>
    <row r="25" spans="2:14">
      <c r="B25">
        <v>3</v>
      </c>
      <c r="C25" s="13">
        <v>2028</v>
      </c>
      <c r="D25" s="4">
        <f>'Residential Heat Pump Measure'!$D$14*'Residential Heat Pump Measure'!$D$36</f>
        <v>84469.60000000002</v>
      </c>
      <c r="E25" s="4">
        <f>'Residential Heat Pump Measure'!$D$22*'Residential Heat Pump Measure'!$D$36</f>
        <v>4233.9348021527367</v>
      </c>
      <c r="F25" s="4">
        <f>('Residential Heat Pump Measure'!$D$33*'Residential Heat Pump Measure'!$D$36)/1000</f>
        <v>7878.077373974209</v>
      </c>
      <c r="G25" s="5">
        <f>F25*'Electric Emissions Intensity'!I6</f>
        <v>3395.451348182884</v>
      </c>
      <c r="H25" s="5">
        <f t="shared" si="7"/>
        <v>838.48345396985269</v>
      </c>
      <c r="I25" s="6">
        <f>'SCC in 2021 CDN'!E15</f>
        <v>285</v>
      </c>
      <c r="J25" s="12">
        <f>'Other Fuel Impact Heating Oil'!F18</f>
        <v>140</v>
      </c>
      <c r="K25" s="12">
        <v>0</v>
      </c>
      <c r="L25" s="12">
        <f t="shared" si="8"/>
        <v>285</v>
      </c>
      <c r="M25" s="2">
        <f t="shared" si="9"/>
        <v>0.94232233454704462</v>
      </c>
      <c r="N25" s="6">
        <f t="shared" si="10"/>
        <v>225184.6804598232</v>
      </c>
    </row>
    <row r="26" spans="2:14">
      <c r="B26">
        <v>4</v>
      </c>
      <c r="C26" s="13">
        <v>2029</v>
      </c>
      <c r="D26" s="4">
        <f>'Residential Heat Pump Measure'!$D$14*'Residential Heat Pump Measure'!$D$36</f>
        <v>84469.60000000002</v>
      </c>
      <c r="E26" s="4">
        <f>'Residential Heat Pump Measure'!$D$22*'Residential Heat Pump Measure'!$D$36</f>
        <v>4233.9348021527367</v>
      </c>
      <c r="F26" s="4">
        <f>('Residential Heat Pump Measure'!$D$33*'Residential Heat Pump Measure'!$D$36)/1000</f>
        <v>7878.077373974209</v>
      </c>
      <c r="G26" s="5">
        <f>F26*'Electric Emissions Intensity'!I7</f>
        <v>3096.084407971864</v>
      </c>
      <c r="H26" s="5">
        <f t="shared" si="7"/>
        <v>1137.8503941808726</v>
      </c>
      <c r="I26" s="6">
        <f>'SCC in 2021 CDN'!E16</f>
        <v>289</v>
      </c>
      <c r="J26" s="12">
        <f>'Other Fuel Impact Heating Oil'!F19</f>
        <v>155</v>
      </c>
      <c r="K26" s="12">
        <v>0</v>
      </c>
      <c r="L26" s="12">
        <f t="shared" si="8"/>
        <v>289</v>
      </c>
      <c r="M26" s="2">
        <f t="shared" si="9"/>
        <v>0.9238454260265142</v>
      </c>
      <c r="N26" s="6">
        <f t="shared" si="10"/>
        <v>303796.18794610846</v>
      </c>
    </row>
    <row r="27" spans="2:14">
      <c r="B27">
        <v>5</v>
      </c>
      <c r="C27" s="13">
        <v>2030</v>
      </c>
      <c r="D27" s="4">
        <f>'Residential Heat Pump Measure'!$D$14*'Residential Heat Pump Measure'!$D$36</f>
        <v>84469.60000000002</v>
      </c>
      <c r="E27" s="4">
        <f>'Residential Heat Pump Measure'!$D$22*'Residential Heat Pump Measure'!$D$36</f>
        <v>4233.9348021527367</v>
      </c>
      <c r="F27" s="4">
        <f>('Residential Heat Pump Measure'!$D$33*'Residential Heat Pump Measure'!$D$36)/1000</f>
        <v>7878.077373974209</v>
      </c>
      <c r="G27" s="5">
        <f>F27*'Electric Emissions Intensity'!I8</f>
        <v>677.51465416178189</v>
      </c>
      <c r="H27" s="5">
        <f t="shared" si="7"/>
        <v>3556.4201479909548</v>
      </c>
      <c r="I27" s="6">
        <f>'SCC in 2021 CDN'!E17</f>
        <v>294</v>
      </c>
      <c r="J27" s="12">
        <f>'Other Fuel Impact Heating Oil'!F20</f>
        <v>170</v>
      </c>
      <c r="K27" s="12">
        <v>0</v>
      </c>
      <c r="L27" s="12">
        <f t="shared" si="8"/>
        <v>294</v>
      </c>
      <c r="M27" s="2">
        <f t="shared" si="9"/>
        <v>0.90573080982991594</v>
      </c>
      <c r="N27" s="6">
        <f t="shared" si="10"/>
        <v>947020.83441617142</v>
      </c>
    </row>
    <row r="28" spans="2:14">
      <c r="B28">
        <v>6</v>
      </c>
      <c r="C28" s="13">
        <v>2031</v>
      </c>
      <c r="D28" s="4">
        <f>'Residential Heat Pump Measure'!$D$14*'Residential Heat Pump Measure'!$D$36</f>
        <v>84469.60000000002</v>
      </c>
      <c r="E28" s="4">
        <f>'Residential Heat Pump Measure'!$D$22*'Residential Heat Pump Measure'!$D$36</f>
        <v>4233.9348021527367</v>
      </c>
      <c r="F28" s="4">
        <f>('Residential Heat Pump Measure'!$D$33*'Residential Heat Pump Measure'!$D$36)/1000</f>
        <v>7878.077373974209</v>
      </c>
      <c r="G28" s="5">
        <f>F28*'Electric Emissions Intensity'!I9</f>
        <v>1252.6143024618993</v>
      </c>
      <c r="H28" s="5">
        <f t="shared" si="7"/>
        <v>2981.3204996908371</v>
      </c>
      <c r="I28" s="6">
        <f>'SCC in 2021 CDN'!E18</f>
        <v>299</v>
      </c>
      <c r="J28" s="12">
        <f t="shared" ref="J28:J37" si="11">J27*1.02</f>
        <v>173.4</v>
      </c>
      <c r="K28" s="12">
        <v>0</v>
      </c>
      <c r="L28" s="12">
        <f t="shared" si="8"/>
        <v>299</v>
      </c>
      <c r="M28" s="2">
        <f t="shared" si="9"/>
        <v>0.88797138218619198</v>
      </c>
      <c r="N28" s="6">
        <f t="shared" si="10"/>
        <v>791550.85817029979</v>
      </c>
    </row>
    <row r="29" spans="2:14">
      <c r="B29">
        <v>7</v>
      </c>
      <c r="C29" s="13">
        <v>2032</v>
      </c>
      <c r="D29" s="4">
        <f>'Residential Heat Pump Measure'!$D$14*'Residential Heat Pump Measure'!$D$36</f>
        <v>84469.60000000002</v>
      </c>
      <c r="E29" s="4">
        <f>'Residential Heat Pump Measure'!$D$22*'Residential Heat Pump Measure'!$D$36</f>
        <v>4233.9348021527367</v>
      </c>
      <c r="F29" s="4">
        <f>('Residential Heat Pump Measure'!$D$33*'Residential Heat Pump Measure'!$D$36)/1000</f>
        <v>7878.077373974209</v>
      </c>
      <c r="G29" s="5">
        <f>F29*'Electric Emissions Intensity'!I10</f>
        <v>2520.9847596717468</v>
      </c>
      <c r="H29" s="5">
        <f t="shared" si="7"/>
        <v>1712.9500424809899</v>
      </c>
      <c r="I29" s="6">
        <f>'SCC in 2021 CDN'!E19</f>
        <v>303</v>
      </c>
      <c r="J29" s="12">
        <f t="shared" si="11"/>
        <v>176.86799999999999</v>
      </c>
      <c r="K29" s="12">
        <v>0</v>
      </c>
      <c r="L29" s="12">
        <f t="shared" si="8"/>
        <v>303</v>
      </c>
      <c r="M29" s="2">
        <f t="shared" si="9"/>
        <v>0.87056017861391388</v>
      </c>
      <c r="N29" s="6">
        <f t="shared" si="10"/>
        <v>451841.50676650542</v>
      </c>
    </row>
    <row r="30" spans="2:14">
      <c r="B30">
        <v>8</v>
      </c>
      <c r="C30" s="13">
        <v>2033</v>
      </c>
      <c r="D30" s="4">
        <f>'Residential Heat Pump Measure'!$D$14*'Residential Heat Pump Measure'!$D$36</f>
        <v>84469.60000000002</v>
      </c>
      <c r="E30" s="4">
        <f>'Residential Heat Pump Measure'!$D$22*'Residential Heat Pump Measure'!$D$36</f>
        <v>4233.9348021527367</v>
      </c>
      <c r="F30" s="4">
        <f>('Residential Heat Pump Measure'!$D$33*'Residential Heat Pump Measure'!$D$36)/1000</f>
        <v>7878.077373974209</v>
      </c>
      <c r="G30" s="5">
        <f>F30*'Electric Emissions Intensity'!I11</f>
        <v>2836.1078546307153</v>
      </c>
      <c r="H30" s="5">
        <f t="shared" si="7"/>
        <v>1397.8269475220213</v>
      </c>
      <c r="I30" s="6">
        <f>'SCC in 2021 CDN'!E20</f>
        <v>308</v>
      </c>
      <c r="J30" s="12">
        <f t="shared" si="11"/>
        <v>180.40536</v>
      </c>
      <c r="K30" s="12">
        <v>0</v>
      </c>
      <c r="L30" s="12">
        <f t="shared" si="8"/>
        <v>308</v>
      </c>
      <c r="M30" s="2">
        <f t="shared" si="9"/>
        <v>0.85349037119011162</v>
      </c>
      <c r="N30" s="6">
        <f t="shared" si="10"/>
        <v>367453.80681243411</v>
      </c>
    </row>
    <row r="31" spans="2:14">
      <c r="B31">
        <v>9</v>
      </c>
      <c r="C31" s="13">
        <v>2034</v>
      </c>
      <c r="D31" s="4">
        <f>'Residential Heat Pump Measure'!$D$14*'Residential Heat Pump Measure'!$D$36</f>
        <v>84469.60000000002</v>
      </c>
      <c r="E31" s="4">
        <f>'Residential Heat Pump Measure'!$D$22*'Residential Heat Pump Measure'!$D$36</f>
        <v>4233.9348021527367</v>
      </c>
      <c r="F31" s="4">
        <f>('Residential Heat Pump Measure'!$D$33*'Residential Heat Pump Measure'!$D$36)/1000</f>
        <v>7878.077373974209</v>
      </c>
      <c r="G31" s="5">
        <f>F31*'Electric Emissions Intensity'!I12</f>
        <v>2907.0105509964833</v>
      </c>
      <c r="H31" s="5">
        <f t="shared" si="7"/>
        <v>1326.9242511562534</v>
      </c>
      <c r="I31" s="6">
        <f>'SCC in 2021 CDN'!E21</f>
        <v>313</v>
      </c>
      <c r="J31" s="12">
        <f t="shared" si="11"/>
        <v>184.01346720000001</v>
      </c>
      <c r="K31" s="12">
        <v>0</v>
      </c>
      <c r="L31" s="12">
        <f t="shared" si="8"/>
        <v>313</v>
      </c>
      <c r="M31" s="2">
        <f t="shared" si="9"/>
        <v>0.83675526587265847</v>
      </c>
      <c r="N31" s="6">
        <f t="shared" si="10"/>
        <v>347527.29748013738</v>
      </c>
    </row>
    <row r="32" spans="2:14">
      <c r="B32">
        <v>10</v>
      </c>
      <c r="C32" s="13">
        <v>2035</v>
      </c>
      <c r="D32" s="4">
        <f>'Residential Heat Pump Measure'!$D$14*'Residential Heat Pump Measure'!$D$36</f>
        <v>84469.60000000002</v>
      </c>
      <c r="E32" s="4">
        <f>'Residential Heat Pump Measure'!$D$22*'Residential Heat Pump Measure'!$D$36</f>
        <v>4233.9348021527367</v>
      </c>
      <c r="F32" s="4">
        <f>('Residential Heat Pump Measure'!$D$33*'Residential Heat Pump Measure'!$D$36)/1000</f>
        <v>7878.077373974209</v>
      </c>
      <c r="G32" s="5">
        <f>F32*'Electric Emissions Intensity'!I13</f>
        <v>2119.2028135990622</v>
      </c>
      <c r="H32" s="5">
        <f t="shared" si="7"/>
        <v>2114.7319885536745</v>
      </c>
      <c r="I32" s="6">
        <f>'SCC in 2021 CDN'!E22</f>
        <v>317</v>
      </c>
      <c r="J32" s="12">
        <f t="shared" si="11"/>
        <v>187.69373654400002</v>
      </c>
      <c r="K32" s="12">
        <v>0</v>
      </c>
      <c r="L32" s="12">
        <f t="shared" si="8"/>
        <v>317</v>
      </c>
      <c r="M32" s="2">
        <f t="shared" si="9"/>
        <v>0.82034829987515534</v>
      </c>
      <c r="N32" s="6">
        <f t="shared" si="10"/>
        <v>549936.92290601146</v>
      </c>
    </row>
    <row r="33" spans="2:14">
      <c r="B33">
        <v>11</v>
      </c>
      <c r="C33" s="13">
        <v>2036</v>
      </c>
      <c r="D33" s="4">
        <f>'Residential Heat Pump Measure'!$D$14*'Residential Heat Pump Measure'!$D$36</f>
        <v>84469.60000000002</v>
      </c>
      <c r="E33" s="4">
        <f>'Residential Heat Pump Measure'!$D$22*'Residential Heat Pump Measure'!$D$36</f>
        <v>4233.9348021527367</v>
      </c>
      <c r="F33" s="4">
        <f>('Residential Heat Pump Measure'!$D$33*'Residential Heat Pump Measure'!$D$36)/1000</f>
        <v>7878.077373974209</v>
      </c>
      <c r="G33" s="5">
        <f>F33*'Electric Emissions Intensity'!I14</f>
        <v>2796.7174677608441</v>
      </c>
      <c r="H33" s="5">
        <f t="shared" si="7"/>
        <v>1437.2173343918926</v>
      </c>
      <c r="I33" s="6">
        <f>'SCC in 2021 CDN'!E23</f>
        <v>322</v>
      </c>
      <c r="J33" s="12">
        <f t="shared" si="11"/>
        <v>191.44761127488002</v>
      </c>
      <c r="K33" s="12">
        <v>0</v>
      </c>
      <c r="L33" s="12">
        <f t="shared" si="8"/>
        <v>322</v>
      </c>
      <c r="M33" s="2">
        <f t="shared" si="9"/>
        <v>0.80426303909328967</v>
      </c>
      <c r="N33" s="6">
        <f t="shared" si="10"/>
        <v>372200.05154497683</v>
      </c>
    </row>
    <row r="34" spans="2:14">
      <c r="B34">
        <v>12</v>
      </c>
      <c r="C34" s="13">
        <v>2037</v>
      </c>
      <c r="D34" s="4">
        <f>'Residential Heat Pump Measure'!$D$14*'Residential Heat Pump Measure'!$D$36</f>
        <v>84469.60000000002</v>
      </c>
      <c r="E34" s="4">
        <f>'Residential Heat Pump Measure'!$D$22*'Residential Heat Pump Measure'!$D$36</f>
        <v>4233.9348021527367</v>
      </c>
      <c r="F34" s="4">
        <f>('Residential Heat Pump Measure'!$D$33*'Residential Heat Pump Measure'!$D$36)/1000</f>
        <v>7878.077373974209</v>
      </c>
      <c r="G34" s="5">
        <f>F34*'Electric Emissions Intensity'!I15</f>
        <v>2268.8862837045722</v>
      </c>
      <c r="H34" s="5">
        <f t="shared" si="7"/>
        <v>1965.0485184481645</v>
      </c>
      <c r="I34" s="6">
        <f>'SCC in 2021 CDN'!E24</f>
        <v>327</v>
      </c>
      <c r="J34" s="12">
        <f t="shared" si="11"/>
        <v>195.27656350037762</v>
      </c>
      <c r="K34" s="12">
        <v>0</v>
      </c>
      <c r="L34" s="12">
        <f t="shared" si="8"/>
        <v>327</v>
      </c>
      <c r="M34" s="2">
        <f t="shared" si="9"/>
        <v>0.78849317558165644</v>
      </c>
      <c r="N34" s="6">
        <f t="shared" si="10"/>
        <v>506662.74230001372</v>
      </c>
    </row>
    <row r="35" spans="2:14">
      <c r="B35">
        <v>13</v>
      </c>
      <c r="C35" s="13">
        <v>2038</v>
      </c>
      <c r="D35" s="4">
        <f>'Residential Heat Pump Measure'!$D$14*'Residential Heat Pump Measure'!$D$36</f>
        <v>84469.60000000002</v>
      </c>
      <c r="E35" s="4">
        <f>'Residential Heat Pump Measure'!$D$22*'Residential Heat Pump Measure'!$D$36</f>
        <v>4233.9348021527367</v>
      </c>
      <c r="F35" s="4">
        <f>('Residential Heat Pump Measure'!$D$33*'Residential Heat Pump Measure'!$D$36)/1000</f>
        <v>7878.077373974209</v>
      </c>
      <c r="G35" s="5">
        <f>F35*'Electric Emissions Intensity'!I16</f>
        <v>1882.8604923798359</v>
      </c>
      <c r="H35" s="5">
        <f t="shared" si="7"/>
        <v>2351.074309772901</v>
      </c>
      <c r="I35" s="6">
        <f>'SCC in 2021 CDN'!E25</f>
        <v>331</v>
      </c>
      <c r="J35" s="12">
        <f t="shared" si="11"/>
        <v>199.18209477038516</v>
      </c>
      <c r="K35" s="12">
        <v>0</v>
      </c>
      <c r="L35" s="12">
        <f t="shared" si="8"/>
        <v>331</v>
      </c>
      <c r="M35" s="2">
        <f t="shared" si="9"/>
        <v>0.77303252508005538</v>
      </c>
      <c r="N35" s="6">
        <f t="shared" si="10"/>
        <v>601578.2373207506</v>
      </c>
    </row>
    <row r="36" spans="2:14">
      <c r="B36">
        <v>14</v>
      </c>
      <c r="C36" s="13">
        <v>2039</v>
      </c>
      <c r="D36" s="4">
        <f>'Residential Heat Pump Measure'!$D$14*'Residential Heat Pump Measure'!$D$36</f>
        <v>84469.60000000002</v>
      </c>
      <c r="E36" s="4">
        <f>'Residential Heat Pump Measure'!$D$22*'Residential Heat Pump Measure'!$D$36</f>
        <v>4233.9348021527367</v>
      </c>
      <c r="F36" s="4">
        <f>('Residential Heat Pump Measure'!$D$33*'Residential Heat Pump Measure'!$D$36)/1000</f>
        <v>7878.077373974209</v>
      </c>
      <c r="G36" s="5">
        <f>F36*'Electric Emissions Intensity'!I17</f>
        <v>1717.4208675263776</v>
      </c>
      <c r="H36" s="5">
        <f t="shared" si="7"/>
        <v>2516.5139346263591</v>
      </c>
      <c r="I36" s="6">
        <f>'SCC in 2021 CDN'!E26</f>
        <v>336</v>
      </c>
      <c r="J36" s="12">
        <f t="shared" si="11"/>
        <v>203.16573666579288</v>
      </c>
      <c r="K36" s="12">
        <v>0</v>
      </c>
      <c r="L36" s="12">
        <f t="shared" si="8"/>
        <v>336</v>
      </c>
      <c r="M36" s="2">
        <f t="shared" si="9"/>
        <v>0.75787502458828948</v>
      </c>
      <c r="N36" s="6">
        <f t="shared" si="10"/>
        <v>640820.22818745964</v>
      </c>
    </row>
    <row r="37" spans="2:14">
      <c r="B37">
        <v>15</v>
      </c>
      <c r="C37" s="13">
        <v>2040</v>
      </c>
      <c r="D37" s="4">
        <f>'Residential Heat Pump Measure'!$D$14*'Residential Heat Pump Measure'!$D$36</f>
        <v>84469.60000000002</v>
      </c>
      <c r="E37" s="4">
        <f>'Residential Heat Pump Measure'!$D$22*'Residential Heat Pump Measure'!$D$36</f>
        <v>4233.9348021527367</v>
      </c>
      <c r="F37" s="4">
        <f>('Residential Heat Pump Measure'!$D$33*'Residential Heat Pump Measure'!$D$36)/1000</f>
        <v>7878.077373974209</v>
      </c>
      <c r="G37" s="5">
        <f>F37*'Electric Emissions Intensity'!I18</f>
        <v>1741.0550996483003</v>
      </c>
      <c r="H37" s="5">
        <f t="shared" si="7"/>
        <v>2492.8797025044364</v>
      </c>
      <c r="I37" s="6">
        <f>'SCC in 2021 CDN'!E27</f>
        <v>341</v>
      </c>
      <c r="J37" s="12">
        <f t="shared" si="11"/>
        <v>207.22905139910873</v>
      </c>
      <c r="K37" s="12">
        <v>0</v>
      </c>
      <c r="L37" s="12">
        <f t="shared" si="8"/>
        <v>341</v>
      </c>
      <c r="M37" s="2">
        <f t="shared" si="9"/>
        <v>0.74301472998851925</v>
      </c>
      <c r="N37" s="6">
        <f t="shared" si="10"/>
        <v>631616.00161611615</v>
      </c>
    </row>
    <row r="38" spans="2:14">
      <c r="M38" s="14" t="s">
        <v>193</v>
      </c>
      <c r="N38" s="32">
        <f>SUM(N23:N37)</f>
        <v>7313937.5782552175</v>
      </c>
    </row>
    <row r="40" spans="2:14">
      <c r="B40" s="14" t="s">
        <v>359</v>
      </c>
    </row>
    <row r="41" spans="2:14" ht="87">
      <c r="C41" s="16" t="s">
        <v>375</v>
      </c>
      <c r="D41" s="17" t="s">
        <v>336</v>
      </c>
      <c r="E41" s="17" t="s">
        <v>389</v>
      </c>
      <c r="F41" s="17" t="s">
        <v>378</v>
      </c>
      <c r="G41" s="17" t="s">
        <v>379</v>
      </c>
      <c r="H41" s="17" t="s">
        <v>380</v>
      </c>
      <c r="I41" s="17" t="s">
        <v>381</v>
      </c>
      <c r="J41" s="17" t="s">
        <v>388</v>
      </c>
      <c r="K41" s="17" t="s">
        <v>383</v>
      </c>
      <c r="L41" s="17" t="s">
        <v>384</v>
      </c>
      <c r="M41" s="17" t="s">
        <v>299</v>
      </c>
      <c r="N41" s="17" t="s">
        <v>385</v>
      </c>
    </row>
    <row r="42" spans="2:14">
      <c r="B42">
        <v>1</v>
      </c>
      <c r="C42" s="13">
        <v>2026</v>
      </c>
      <c r="D42" s="4">
        <f>'Residential Heat Pump Measure'!$D$16*'Residential Heat Pump Measure'!$D$36</f>
        <v>3311376.4597821804</v>
      </c>
      <c r="E42" s="4">
        <f>'Residential Heat Pump Measure'!$D$28*'Residential Heat Pump Measure'!$D$36</f>
        <v>5030.4000000000005</v>
      </c>
      <c r="F42" s="4">
        <f>('Residential Heat Pump Measure'!$D$33*'Residential Heat Pump Measure'!$D$36)/1000</f>
        <v>7878.077373974209</v>
      </c>
      <c r="G42" s="5">
        <f>F23*'Electric Emissions Intensity'!I4</f>
        <v>3529.3786635404458</v>
      </c>
      <c r="H42" s="5">
        <f>E42-G42</f>
        <v>1501.0213364595547</v>
      </c>
      <c r="I42" s="6">
        <f>'SCC in 2021 CDN'!E13</f>
        <v>275</v>
      </c>
      <c r="J42" s="12">
        <f>'Other Fuel Impact Heating Oil'!F16</f>
        <v>110</v>
      </c>
      <c r="K42" s="12">
        <v>0</v>
      </c>
      <c r="L42" s="12">
        <f>I42-K42</f>
        <v>275</v>
      </c>
      <c r="M42" s="2">
        <f>1/(1+0.02)^B42</f>
        <v>0.98039215686274506</v>
      </c>
      <c r="N42" s="6">
        <f>H42*L42*M42</f>
        <v>404687.12502586032</v>
      </c>
    </row>
    <row r="43" spans="2:14">
      <c r="B43">
        <v>2</v>
      </c>
      <c r="C43" s="13">
        <v>2027</v>
      </c>
      <c r="D43" s="4">
        <f>'Residential Heat Pump Measure'!$D$16*'Residential Heat Pump Measure'!$D$36</f>
        <v>3311376.4597821804</v>
      </c>
      <c r="E43" s="4">
        <f>'Residential Heat Pump Measure'!$D$28*'Residential Heat Pump Measure'!$D$36</f>
        <v>5030.4000000000005</v>
      </c>
      <c r="F43" s="4">
        <f>('Residential Heat Pump Measure'!$D$33*'Residential Heat Pump Measure'!$D$36)/1000</f>
        <v>7878.077373974209</v>
      </c>
      <c r="G43" s="5">
        <f>F24*'Electric Emissions Intensity'!I5</f>
        <v>2796.7174677608441</v>
      </c>
      <c r="H43" s="5">
        <f t="shared" ref="H43:H56" si="12">E43-G43</f>
        <v>2233.6825322391564</v>
      </c>
      <c r="I43" s="6">
        <f>'SCC in 2021 CDN'!E14</f>
        <v>280</v>
      </c>
      <c r="J43" s="12">
        <f>'Other Fuel Impact Heating Oil'!F17</f>
        <v>125</v>
      </c>
      <c r="K43" s="12">
        <v>0</v>
      </c>
      <c r="L43" s="12">
        <f t="shared" ref="L43:L56" si="13">I43-K43</f>
        <v>280</v>
      </c>
      <c r="M43" s="2">
        <f t="shared" ref="M43:M56" si="14">1/(1+0.02)^B43</f>
        <v>0.96116878123798544</v>
      </c>
      <c r="N43" s="6">
        <f t="shared" ref="N43:N56" si="15">H43*L43*M43</f>
        <v>601144.85681176838</v>
      </c>
    </row>
    <row r="44" spans="2:14">
      <c r="B44">
        <v>3</v>
      </c>
      <c r="C44" s="13">
        <v>2028</v>
      </c>
      <c r="D44" s="4">
        <f>'Residential Heat Pump Measure'!$D$16*'Residential Heat Pump Measure'!$D$36</f>
        <v>3311376.4597821804</v>
      </c>
      <c r="E44" s="4">
        <f>'Residential Heat Pump Measure'!$D$28*'Residential Heat Pump Measure'!$D$36</f>
        <v>5030.4000000000005</v>
      </c>
      <c r="F44" s="4">
        <f>('Residential Heat Pump Measure'!$D$33*'Residential Heat Pump Measure'!$D$36)/1000</f>
        <v>7878.077373974209</v>
      </c>
      <c r="G44" s="5">
        <f>F25*'Electric Emissions Intensity'!I6</f>
        <v>3395.451348182884</v>
      </c>
      <c r="H44" s="5">
        <f t="shared" si="12"/>
        <v>1634.9486518171166</v>
      </c>
      <c r="I44" s="6">
        <f>'SCC in 2021 CDN'!E15</f>
        <v>285</v>
      </c>
      <c r="J44" s="12">
        <f>'Other Fuel Impact Heating Oil'!F18</f>
        <v>140</v>
      </c>
      <c r="K44" s="12">
        <v>0</v>
      </c>
      <c r="L44" s="12">
        <f t="shared" si="13"/>
        <v>285</v>
      </c>
      <c r="M44" s="2">
        <f t="shared" si="14"/>
        <v>0.94232233454704462</v>
      </c>
      <c r="N44" s="6">
        <f t="shared" si="15"/>
        <v>439084.85967678187</v>
      </c>
    </row>
    <row r="45" spans="2:14">
      <c r="B45">
        <v>4</v>
      </c>
      <c r="C45" s="13">
        <v>2029</v>
      </c>
      <c r="D45" s="4">
        <f>'Residential Heat Pump Measure'!$D$16*'Residential Heat Pump Measure'!$D$36</f>
        <v>3311376.4597821804</v>
      </c>
      <c r="E45" s="4">
        <f>'Residential Heat Pump Measure'!$D$28*'Residential Heat Pump Measure'!$D$36</f>
        <v>5030.4000000000005</v>
      </c>
      <c r="F45" s="4">
        <f>('Residential Heat Pump Measure'!$D$33*'Residential Heat Pump Measure'!$D$36)/1000</f>
        <v>7878.077373974209</v>
      </c>
      <c r="G45" s="5">
        <f>F26*'Electric Emissions Intensity'!I7</f>
        <v>3096.084407971864</v>
      </c>
      <c r="H45" s="5">
        <f t="shared" si="12"/>
        <v>1934.3155920281365</v>
      </c>
      <c r="I45" s="6">
        <f>'SCC in 2021 CDN'!E16</f>
        <v>289</v>
      </c>
      <c r="J45" s="12">
        <f>'Other Fuel Impact Heating Oil'!F19</f>
        <v>155</v>
      </c>
      <c r="K45" s="12">
        <v>0</v>
      </c>
      <c r="L45" s="12">
        <f t="shared" si="13"/>
        <v>289</v>
      </c>
      <c r="M45" s="2">
        <f t="shared" si="14"/>
        <v>0.9238454260265142</v>
      </c>
      <c r="N45" s="6">
        <f t="shared" si="15"/>
        <v>516445.48892203229</v>
      </c>
    </row>
    <row r="46" spans="2:14">
      <c r="B46">
        <v>5</v>
      </c>
      <c r="C46" s="13">
        <v>2030</v>
      </c>
      <c r="D46" s="4">
        <f>'Residential Heat Pump Measure'!$D$16*'Residential Heat Pump Measure'!$D$36</f>
        <v>3311376.4597821804</v>
      </c>
      <c r="E46" s="4">
        <f>'Residential Heat Pump Measure'!$D$28*'Residential Heat Pump Measure'!$D$36</f>
        <v>5030.4000000000005</v>
      </c>
      <c r="F46" s="4">
        <f>('Residential Heat Pump Measure'!$D$33*'Residential Heat Pump Measure'!$D$36)/1000</f>
        <v>7878.077373974209</v>
      </c>
      <c r="G46" s="5">
        <f>F27*'Electric Emissions Intensity'!I8</f>
        <v>677.51465416178189</v>
      </c>
      <c r="H46" s="5">
        <f t="shared" si="12"/>
        <v>4352.8853458382182</v>
      </c>
      <c r="I46" s="6">
        <f>'SCC in 2021 CDN'!E17</f>
        <v>294</v>
      </c>
      <c r="J46" s="12">
        <f>'Other Fuel Impact Heating Oil'!F20</f>
        <v>170</v>
      </c>
      <c r="K46" s="12">
        <v>0</v>
      </c>
      <c r="L46" s="12">
        <f t="shared" si="13"/>
        <v>294</v>
      </c>
      <c r="M46" s="2">
        <f t="shared" si="14"/>
        <v>0.90573080982991594</v>
      </c>
      <c r="N46" s="6">
        <f t="shared" si="15"/>
        <v>1159107.4565985498</v>
      </c>
    </row>
    <row r="47" spans="2:14">
      <c r="B47">
        <v>6</v>
      </c>
      <c r="C47" s="13">
        <v>2031</v>
      </c>
      <c r="D47" s="4">
        <f>'Residential Heat Pump Measure'!$D$16*'Residential Heat Pump Measure'!$D$36</f>
        <v>3311376.4597821804</v>
      </c>
      <c r="E47" s="4">
        <f>'Residential Heat Pump Measure'!$D$28*'Residential Heat Pump Measure'!$D$36</f>
        <v>5030.4000000000005</v>
      </c>
      <c r="F47" s="4">
        <f>('Residential Heat Pump Measure'!$D$33*'Residential Heat Pump Measure'!$D$36)/1000</f>
        <v>7878.077373974209</v>
      </c>
      <c r="G47" s="5">
        <f>F28*'Electric Emissions Intensity'!I9</f>
        <v>1252.6143024618993</v>
      </c>
      <c r="H47" s="5">
        <f t="shared" si="12"/>
        <v>3777.785697538101</v>
      </c>
      <c r="I47" s="6">
        <f>'SCC in 2021 CDN'!E18</f>
        <v>299</v>
      </c>
      <c r="J47" s="12">
        <f t="shared" ref="J47:J56" si="16">J27*1.02</f>
        <v>173.4</v>
      </c>
      <c r="K47" s="12">
        <v>0</v>
      </c>
      <c r="L47" s="12">
        <f t="shared" si="13"/>
        <v>299</v>
      </c>
      <c r="M47" s="2">
        <f t="shared" si="14"/>
        <v>0.88797138218619198</v>
      </c>
      <c r="N47" s="6">
        <f t="shared" si="15"/>
        <v>1003015.1106463944</v>
      </c>
    </row>
    <row r="48" spans="2:14">
      <c r="B48">
        <v>7</v>
      </c>
      <c r="C48" s="13">
        <v>2032</v>
      </c>
      <c r="D48" s="4">
        <f>'Residential Heat Pump Measure'!$D$16*'Residential Heat Pump Measure'!$D$36</f>
        <v>3311376.4597821804</v>
      </c>
      <c r="E48" s="4">
        <f>'Residential Heat Pump Measure'!$D$28*'Residential Heat Pump Measure'!$D$36</f>
        <v>5030.4000000000005</v>
      </c>
      <c r="F48" s="4">
        <f>('Residential Heat Pump Measure'!$D$33*'Residential Heat Pump Measure'!$D$36)/1000</f>
        <v>7878.077373974209</v>
      </c>
      <c r="G48" s="5">
        <f>F29*'Electric Emissions Intensity'!I10</f>
        <v>2520.9847596717468</v>
      </c>
      <c r="H48" s="5">
        <f t="shared" si="12"/>
        <v>2509.4152403282537</v>
      </c>
      <c r="I48" s="6">
        <f>'SCC in 2021 CDN'!E19</f>
        <v>303</v>
      </c>
      <c r="J48" s="12">
        <f t="shared" si="16"/>
        <v>176.86799999999999</v>
      </c>
      <c r="K48" s="12">
        <v>0</v>
      </c>
      <c r="L48" s="12">
        <f t="shared" si="13"/>
        <v>303</v>
      </c>
      <c r="M48" s="2">
        <f t="shared" si="14"/>
        <v>0.87056017861391388</v>
      </c>
      <c r="N48" s="6">
        <f t="shared" si="15"/>
        <v>661932.88489050255</v>
      </c>
    </row>
    <row r="49" spans="2:15">
      <c r="B49">
        <v>8</v>
      </c>
      <c r="C49" s="13">
        <v>2033</v>
      </c>
      <c r="D49" s="4">
        <f>'Residential Heat Pump Measure'!$D$16*'Residential Heat Pump Measure'!$D$36</f>
        <v>3311376.4597821804</v>
      </c>
      <c r="E49" s="4">
        <f>'Residential Heat Pump Measure'!$D$28*'Residential Heat Pump Measure'!$D$36</f>
        <v>5030.4000000000005</v>
      </c>
      <c r="F49" s="4">
        <f>('Residential Heat Pump Measure'!$D$33*'Residential Heat Pump Measure'!$D$36)/1000</f>
        <v>7878.077373974209</v>
      </c>
      <c r="G49" s="5">
        <f>F30*'Electric Emissions Intensity'!I11</f>
        <v>2836.1078546307153</v>
      </c>
      <c r="H49" s="5">
        <f t="shared" si="12"/>
        <v>2194.2921453692852</v>
      </c>
      <c r="I49" s="6">
        <f>'SCC in 2021 CDN'!E20</f>
        <v>308</v>
      </c>
      <c r="J49" s="12">
        <f t="shared" si="16"/>
        <v>180.40536</v>
      </c>
      <c r="K49" s="12">
        <v>0</v>
      </c>
      <c r="L49" s="12">
        <f t="shared" si="13"/>
        <v>308</v>
      </c>
      <c r="M49" s="2">
        <f t="shared" si="14"/>
        <v>0.85349037119011162</v>
      </c>
      <c r="N49" s="6">
        <f t="shared" si="15"/>
        <v>576824.62303643953</v>
      </c>
    </row>
    <row r="50" spans="2:15">
      <c r="B50">
        <v>9</v>
      </c>
      <c r="C50" s="13">
        <v>2034</v>
      </c>
      <c r="D50" s="4">
        <f>'Residential Heat Pump Measure'!$D$16*'Residential Heat Pump Measure'!$D$36</f>
        <v>3311376.4597821804</v>
      </c>
      <c r="E50" s="4">
        <f>'Residential Heat Pump Measure'!$D$28*'Residential Heat Pump Measure'!$D$36</f>
        <v>5030.4000000000005</v>
      </c>
      <c r="F50" s="4">
        <f>('Residential Heat Pump Measure'!$D$33*'Residential Heat Pump Measure'!$D$36)/1000</f>
        <v>7878.077373974209</v>
      </c>
      <c r="G50" s="5">
        <f>F31*'Electric Emissions Intensity'!I12</f>
        <v>2907.0105509964833</v>
      </c>
      <c r="H50" s="5">
        <f t="shared" si="12"/>
        <v>2123.3894490035173</v>
      </c>
      <c r="I50" s="6">
        <f>'SCC in 2021 CDN'!E21</f>
        <v>313</v>
      </c>
      <c r="J50" s="12">
        <f t="shared" si="16"/>
        <v>184.01346720000001</v>
      </c>
      <c r="K50" s="12">
        <v>0</v>
      </c>
      <c r="L50" s="12">
        <f t="shared" si="13"/>
        <v>313</v>
      </c>
      <c r="M50" s="2">
        <f t="shared" si="14"/>
        <v>0.83675526587265847</v>
      </c>
      <c r="N50" s="6">
        <f t="shared" si="15"/>
        <v>556125.03582401853</v>
      </c>
    </row>
    <row r="51" spans="2:15">
      <c r="B51">
        <v>10</v>
      </c>
      <c r="C51" s="13">
        <v>2035</v>
      </c>
      <c r="D51" s="4">
        <f>'Residential Heat Pump Measure'!$D$16*'Residential Heat Pump Measure'!$D$36</f>
        <v>3311376.4597821804</v>
      </c>
      <c r="E51" s="4">
        <f>'Residential Heat Pump Measure'!$D$28*'Residential Heat Pump Measure'!$D$36</f>
        <v>5030.4000000000005</v>
      </c>
      <c r="F51" s="4">
        <f>('Residential Heat Pump Measure'!$D$33*'Residential Heat Pump Measure'!$D$36)/1000</f>
        <v>7878.077373974209</v>
      </c>
      <c r="G51" s="5">
        <f>F32*'Electric Emissions Intensity'!I13</f>
        <v>2119.2028135990622</v>
      </c>
      <c r="H51" s="5">
        <f t="shared" si="12"/>
        <v>2911.1971864009383</v>
      </c>
      <c r="I51" s="6">
        <f>'SCC in 2021 CDN'!E22</f>
        <v>317</v>
      </c>
      <c r="J51" s="12">
        <f t="shared" si="16"/>
        <v>187.69373654400002</v>
      </c>
      <c r="K51" s="12">
        <v>0</v>
      </c>
      <c r="L51" s="12">
        <f t="shared" si="13"/>
        <v>317</v>
      </c>
      <c r="M51" s="2">
        <f t="shared" si="14"/>
        <v>0.82034829987515534</v>
      </c>
      <c r="N51" s="6">
        <f t="shared" si="15"/>
        <v>757058.02500151447</v>
      </c>
    </row>
    <row r="52" spans="2:15">
      <c r="B52">
        <v>11</v>
      </c>
      <c r="C52" s="13">
        <v>2036</v>
      </c>
      <c r="D52" s="4">
        <f>'Residential Heat Pump Measure'!$D$16*'Residential Heat Pump Measure'!$D$36</f>
        <v>3311376.4597821804</v>
      </c>
      <c r="E52" s="4">
        <f>'Residential Heat Pump Measure'!$D$28*'Residential Heat Pump Measure'!$D$36</f>
        <v>5030.4000000000005</v>
      </c>
      <c r="F52" s="4">
        <f>('Residential Heat Pump Measure'!$D$33*'Residential Heat Pump Measure'!$D$36)/1000</f>
        <v>7878.077373974209</v>
      </c>
      <c r="G52" s="5">
        <f>F33*'Electric Emissions Intensity'!I14</f>
        <v>2796.7174677608441</v>
      </c>
      <c r="H52" s="5">
        <f t="shared" si="12"/>
        <v>2233.6825322391564</v>
      </c>
      <c r="I52" s="6">
        <f>'SCC in 2021 CDN'!E23</f>
        <v>322</v>
      </c>
      <c r="J52" s="12">
        <f t="shared" si="16"/>
        <v>191.44761127488002</v>
      </c>
      <c r="K52" s="12">
        <v>0</v>
      </c>
      <c r="L52" s="12">
        <f t="shared" si="13"/>
        <v>322</v>
      </c>
      <c r="M52" s="2">
        <f t="shared" si="14"/>
        <v>0.80426303909328967</v>
      </c>
      <c r="N52" s="6">
        <f t="shared" si="15"/>
        <v>578462.79316293937</v>
      </c>
    </row>
    <row r="53" spans="2:15">
      <c r="B53">
        <v>12</v>
      </c>
      <c r="C53" s="13">
        <v>2037</v>
      </c>
      <c r="D53" s="4">
        <f>'Residential Heat Pump Measure'!$D$16*'Residential Heat Pump Measure'!$D$36</f>
        <v>3311376.4597821804</v>
      </c>
      <c r="E53" s="4">
        <f>'Residential Heat Pump Measure'!$D$28*'Residential Heat Pump Measure'!$D$36</f>
        <v>5030.4000000000005</v>
      </c>
      <c r="F53" s="4">
        <f>('Residential Heat Pump Measure'!$D$33*'Residential Heat Pump Measure'!$D$36)/1000</f>
        <v>7878.077373974209</v>
      </c>
      <c r="G53" s="5">
        <f>F34*'Electric Emissions Intensity'!I15</f>
        <v>2268.8862837045722</v>
      </c>
      <c r="H53" s="5">
        <f t="shared" si="12"/>
        <v>2761.5137162954284</v>
      </c>
      <c r="I53" s="6">
        <f>'SCC in 2021 CDN'!E24</f>
        <v>327</v>
      </c>
      <c r="J53" s="12">
        <f t="shared" si="16"/>
        <v>195.27656350037762</v>
      </c>
      <c r="K53" s="12">
        <v>0</v>
      </c>
      <c r="L53" s="12">
        <f t="shared" si="13"/>
        <v>327</v>
      </c>
      <c r="M53" s="2">
        <f t="shared" si="14"/>
        <v>0.78849317558165644</v>
      </c>
      <c r="N53" s="6">
        <f t="shared" si="15"/>
        <v>712021.15330072539</v>
      </c>
    </row>
    <row r="54" spans="2:15">
      <c r="B54">
        <v>13</v>
      </c>
      <c r="C54" s="13">
        <v>2038</v>
      </c>
      <c r="D54" s="4">
        <f>'Residential Heat Pump Measure'!$D$16*'Residential Heat Pump Measure'!$D$36</f>
        <v>3311376.4597821804</v>
      </c>
      <c r="E54" s="4">
        <f>'Residential Heat Pump Measure'!$D$28*'Residential Heat Pump Measure'!$D$36</f>
        <v>5030.4000000000005</v>
      </c>
      <c r="F54" s="4">
        <f>('Residential Heat Pump Measure'!$D$33*'Residential Heat Pump Measure'!$D$36)/1000</f>
        <v>7878.077373974209</v>
      </c>
      <c r="G54" s="5">
        <f>F35*'Electric Emissions Intensity'!I16</f>
        <v>1882.8604923798359</v>
      </c>
      <c r="H54" s="5">
        <f t="shared" si="12"/>
        <v>3147.5395076201648</v>
      </c>
      <c r="I54" s="6">
        <f>'SCC in 2021 CDN'!E25</f>
        <v>331</v>
      </c>
      <c r="J54" s="12">
        <f t="shared" si="16"/>
        <v>199.18209477038516</v>
      </c>
      <c r="K54" s="12">
        <v>0</v>
      </c>
      <c r="L54" s="12">
        <f t="shared" si="13"/>
        <v>331</v>
      </c>
      <c r="M54" s="2">
        <f t="shared" si="14"/>
        <v>0.77303252508005538</v>
      </c>
      <c r="N54" s="6">
        <f t="shared" si="15"/>
        <v>805372.78682376549</v>
      </c>
    </row>
    <row r="55" spans="2:15">
      <c r="B55">
        <v>14</v>
      </c>
      <c r="C55" s="13">
        <v>2039</v>
      </c>
      <c r="D55" s="4">
        <f>'Residential Heat Pump Measure'!$D$16*'Residential Heat Pump Measure'!$D$36</f>
        <v>3311376.4597821804</v>
      </c>
      <c r="E55" s="4">
        <f>'Residential Heat Pump Measure'!$D$28*'Residential Heat Pump Measure'!$D$36</f>
        <v>5030.4000000000005</v>
      </c>
      <c r="F55" s="4">
        <f>('Residential Heat Pump Measure'!$D$33*'Residential Heat Pump Measure'!$D$36)/1000</f>
        <v>7878.077373974209</v>
      </c>
      <c r="G55" s="5">
        <f>F36*'Electric Emissions Intensity'!I17</f>
        <v>1717.4208675263776</v>
      </c>
      <c r="H55" s="5">
        <f t="shared" si="12"/>
        <v>3312.9791324736229</v>
      </c>
      <c r="I55" s="6">
        <f>'SCC in 2021 CDN'!E26</f>
        <v>336</v>
      </c>
      <c r="J55" s="12">
        <f t="shared" si="16"/>
        <v>203.16573666579288</v>
      </c>
      <c r="K55" s="12">
        <v>0</v>
      </c>
      <c r="L55" s="12">
        <f t="shared" si="13"/>
        <v>336</v>
      </c>
      <c r="M55" s="2">
        <f t="shared" si="14"/>
        <v>0.75787502458828948</v>
      </c>
      <c r="N55" s="6">
        <f t="shared" si="15"/>
        <v>843636.91153860278</v>
      </c>
    </row>
    <row r="56" spans="2:15">
      <c r="B56">
        <v>15</v>
      </c>
      <c r="C56" s="13">
        <v>2040</v>
      </c>
      <c r="D56" s="4">
        <f>'Residential Heat Pump Measure'!$D$16*'Residential Heat Pump Measure'!$D$36</f>
        <v>3311376.4597821804</v>
      </c>
      <c r="E56" s="4">
        <f>'Residential Heat Pump Measure'!$D$28*'Residential Heat Pump Measure'!$D$36</f>
        <v>5030.4000000000005</v>
      </c>
      <c r="F56" s="4">
        <f>('Residential Heat Pump Measure'!$D$33*'Residential Heat Pump Measure'!$D$36)/1000</f>
        <v>7878.077373974209</v>
      </c>
      <c r="G56" s="5">
        <f>F37*'Electric Emissions Intensity'!I18</f>
        <v>1741.0550996483003</v>
      </c>
      <c r="H56" s="5">
        <f t="shared" si="12"/>
        <v>3289.3449003517003</v>
      </c>
      <c r="I56" s="6">
        <f>'SCC in 2021 CDN'!E27</f>
        <v>341</v>
      </c>
      <c r="J56" s="12">
        <f t="shared" si="16"/>
        <v>207.22905139910873</v>
      </c>
      <c r="K56" s="12">
        <v>0</v>
      </c>
      <c r="L56" s="12">
        <f t="shared" si="13"/>
        <v>341</v>
      </c>
      <c r="M56" s="2">
        <f t="shared" si="14"/>
        <v>0.74301472998851925</v>
      </c>
      <c r="N56" s="6">
        <f t="shared" si="15"/>
        <v>833414.81412411062</v>
      </c>
    </row>
    <row r="57" spans="2:15">
      <c r="N57" s="32">
        <f>SUM(N42:N56)</f>
        <v>10448333.925384007</v>
      </c>
      <c r="O57" s="14" t="s">
        <v>193</v>
      </c>
    </row>
    <row r="58" spans="2:15">
      <c r="E58" s="31"/>
    </row>
    <row r="59" spans="2:15">
      <c r="B59" s="14" t="s">
        <v>390</v>
      </c>
    </row>
    <row r="60" spans="2:15" ht="87">
      <c r="C60" s="16" t="s">
        <v>375</v>
      </c>
      <c r="D60" s="17" t="s">
        <v>391</v>
      </c>
      <c r="E60" s="17" t="s">
        <v>392</v>
      </c>
      <c r="F60" s="17" t="s">
        <v>378</v>
      </c>
      <c r="G60" s="17" t="s">
        <v>379</v>
      </c>
      <c r="H60" s="17" t="s">
        <v>380</v>
      </c>
      <c r="I60" s="17" t="s">
        <v>381</v>
      </c>
      <c r="J60" s="17" t="s">
        <v>388</v>
      </c>
      <c r="K60" s="17" t="s">
        <v>383</v>
      </c>
      <c r="L60" s="17" t="s">
        <v>384</v>
      </c>
      <c r="M60" s="17" t="s">
        <v>299</v>
      </c>
      <c r="N60" s="17" t="s">
        <v>385</v>
      </c>
    </row>
    <row r="61" spans="2:15">
      <c r="B61">
        <v>1</v>
      </c>
      <c r="C61" s="13">
        <v>2026</v>
      </c>
      <c r="D61" s="4">
        <f>'Other Fuel Impact Electric'!G9</f>
        <v>11817.116060961313</v>
      </c>
      <c r="E61" s="5">
        <f>D61*'Electric Emissions Intensity'!I4</f>
        <v>5294.0679953106683</v>
      </c>
      <c r="F61" t="s">
        <v>393</v>
      </c>
      <c r="G61" t="s">
        <v>393</v>
      </c>
      <c r="H61" s="5">
        <f>E61</f>
        <v>5294.0679953106683</v>
      </c>
      <c r="I61" s="6">
        <f>'SCC in 2021 CDN'!E13</f>
        <v>275</v>
      </c>
      <c r="J61" t="s">
        <v>393</v>
      </c>
      <c r="K61" s="12">
        <v>0</v>
      </c>
      <c r="L61" s="6">
        <f>I61-K61</f>
        <v>275</v>
      </c>
      <c r="M61" s="2">
        <f>1/(1+0.02)^B42</f>
        <v>0.98039215686274506</v>
      </c>
      <c r="N61" s="6">
        <f>H61*L61*M61</f>
        <v>1427322.2536376801</v>
      </c>
    </row>
    <row r="62" spans="2:15">
      <c r="B62">
        <v>2</v>
      </c>
      <c r="C62" s="13">
        <v>2027</v>
      </c>
      <c r="D62" s="4">
        <f>'Other Fuel Impact Electric'!G10</f>
        <v>11817.116060961313</v>
      </c>
      <c r="E62" s="5">
        <f>D62*'Electric Emissions Intensity'!I5</f>
        <v>4195.0762016412655</v>
      </c>
      <c r="F62" t="s">
        <v>393</v>
      </c>
      <c r="G62" t="s">
        <v>393</v>
      </c>
      <c r="H62" s="5">
        <f t="shared" ref="H62:H75" si="17">E62</f>
        <v>4195.0762016412655</v>
      </c>
      <c r="I62" s="6">
        <f>'SCC in 2021 CDN'!E14</f>
        <v>280</v>
      </c>
      <c r="J62" t="s">
        <v>393</v>
      </c>
      <c r="K62" s="12">
        <v>0</v>
      </c>
      <c r="L62" s="6">
        <f t="shared" ref="L62:L75" si="18">I62-K62</f>
        <v>280</v>
      </c>
      <c r="M62" s="2">
        <f t="shared" ref="M62:M75" si="19">1/(1+0.02)^B43</f>
        <v>0.96116878123798544</v>
      </c>
      <c r="N62" s="6">
        <f t="shared" ref="N62:N75" si="20">H62*L62*M62</f>
        <v>1129009.3583809633</v>
      </c>
    </row>
    <row r="63" spans="2:15">
      <c r="B63">
        <v>3</v>
      </c>
      <c r="C63" s="13">
        <v>2028</v>
      </c>
      <c r="D63" s="4">
        <f>'Other Fuel Impact Electric'!G11</f>
        <v>11817.116060961313</v>
      </c>
      <c r="E63" s="5">
        <f>D63*'Electric Emissions Intensity'!I6</f>
        <v>5093.1770222743253</v>
      </c>
      <c r="F63" t="s">
        <v>393</v>
      </c>
      <c r="G63" t="s">
        <v>393</v>
      </c>
      <c r="H63" s="5">
        <f t="shared" si="17"/>
        <v>5093.1770222743253</v>
      </c>
      <c r="I63" s="6">
        <f>'SCC in 2021 CDN'!E15</f>
        <v>285</v>
      </c>
      <c r="J63" t="s">
        <v>393</v>
      </c>
      <c r="K63" s="12">
        <v>0</v>
      </c>
      <c r="L63" s="6">
        <f t="shared" si="18"/>
        <v>285</v>
      </c>
      <c r="M63" s="2">
        <f t="shared" si="19"/>
        <v>0.94232233454704462</v>
      </c>
      <c r="N63" s="6">
        <f t="shared" si="20"/>
        <v>1367833.1216389085</v>
      </c>
    </row>
    <row r="64" spans="2:15">
      <c r="B64">
        <v>4</v>
      </c>
      <c r="C64" s="13">
        <v>2029</v>
      </c>
      <c r="D64" s="4">
        <f>'Other Fuel Impact Electric'!G12</f>
        <v>11817.116060961313</v>
      </c>
      <c r="E64" s="5">
        <f>D64*'Electric Emissions Intensity'!I7</f>
        <v>4644.1266119577958</v>
      </c>
      <c r="F64" t="s">
        <v>393</v>
      </c>
      <c r="G64" t="s">
        <v>393</v>
      </c>
      <c r="H64" s="5">
        <f t="shared" si="17"/>
        <v>4644.1266119577958</v>
      </c>
      <c r="I64" s="6">
        <f>'SCC in 2021 CDN'!E16</f>
        <v>289</v>
      </c>
      <c r="J64" t="s">
        <v>393</v>
      </c>
      <c r="K64" s="12">
        <v>0</v>
      </c>
      <c r="L64" s="6">
        <f t="shared" si="18"/>
        <v>289</v>
      </c>
      <c r="M64" s="2">
        <f t="shared" si="19"/>
        <v>0.9238454260265142</v>
      </c>
      <c r="N64" s="6">
        <f t="shared" si="20"/>
        <v>1239941.5320917692</v>
      </c>
    </row>
    <row r="65" spans="2:15">
      <c r="B65">
        <v>5</v>
      </c>
      <c r="C65" s="13">
        <v>2030</v>
      </c>
      <c r="D65" s="4">
        <f>'Other Fuel Impact Electric'!G13</f>
        <v>11817.116060961313</v>
      </c>
      <c r="E65" s="5">
        <f>D65*'Electric Emissions Intensity'!I8</f>
        <v>1016.2719812426728</v>
      </c>
      <c r="F65" t="s">
        <v>393</v>
      </c>
      <c r="G65" t="s">
        <v>393</v>
      </c>
      <c r="H65" s="5">
        <f t="shared" si="17"/>
        <v>1016.2719812426728</v>
      </c>
      <c r="I65" s="6">
        <f>'SCC in 2021 CDN'!E17</f>
        <v>294</v>
      </c>
      <c r="J65" t="s">
        <v>393</v>
      </c>
      <c r="K65" s="12">
        <v>0</v>
      </c>
      <c r="L65" s="6">
        <f t="shared" si="18"/>
        <v>294</v>
      </c>
      <c r="M65" s="2">
        <f t="shared" si="19"/>
        <v>0.90573080982991594</v>
      </c>
      <c r="N65" s="6">
        <f t="shared" si="20"/>
        <v>270617.84030604351</v>
      </c>
    </row>
    <row r="66" spans="2:15">
      <c r="B66">
        <v>6</v>
      </c>
      <c r="C66" s="13">
        <v>2031</v>
      </c>
      <c r="D66" s="4">
        <f>'Other Fuel Impact Electric'!G14</f>
        <v>11817.116060961313</v>
      </c>
      <c r="E66" s="5">
        <f>D66*'Electric Emissions Intensity'!I9</f>
        <v>1878.9214536928487</v>
      </c>
      <c r="F66" t="s">
        <v>393</v>
      </c>
      <c r="G66" t="s">
        <v>393</v>
      </c>
      <c r="H66" s="5">
        <f t="shared" si="17"/>
        <v>1878.9214536928487</v>
      </c>
      <c r="I66" s="6">
        <f>'SCC in 2021 CDN'!E18</f>
        <v>299</v>
      </c>
      <c r="J66" t="s">
        <v>393</v>
      </c>
      <c r="K66" s="12">
        <v>0</v>
      </c>
      <c r="L66" s="6">
        <f t="shared" si="18"/>
        <v>299</v>
      </c>
      <c r="M66" s="2">
        <f t="shared" si="19"/>
        <v>0.88797138218619198</v>
      </c>
      <c r="N66" s="6">
        <f t="shared" si="20"/>
        <v>498860.11559622345</v>
      </c>
    </row>
    <row r="67" spans="2:15">
      <c r="B67">
        <v>7</v>
      </c>
      <c r="C67" s="13">
        <v>2032</v>
      </c>
      <c r="D67" s="4">
        <f>'Other Fuel Impact Electric'!G15</f>
        <v>11817.116060961313</v>
      </c>
      <c r="E67" s="5">
        <f>D67*'Electric Emissions Intensity'!I10</f>
        <v>3781.47713950762</v>
      </c>
      <c r="F67" t="s">
        <v>393</v>
      </c>
      <c r="G67" t="s">
        <v>393</v>
      </c>
      <c r="H67" s="5">
        <f t="shared" si="17"/>
        <v>3781.47713950762</v>
      </c>
      <c r="I67" s="6">
        <f>'SCC in 2021 CDN'!E19</f>
        <v>303</v>
      </c>
      <c r="J67" t="s">
        <v>393</v>
      </c>
      <c r="K67" s="12">
        <v>0</v>
      </c>
      <c r="L67" s="6">
        <f t="shared" si="18"/>
        <v>303</v>
      </c>
      <c r="M67" s="2">
        <f t="shared" si="19"/>
        <v>0.87056017861391388</v>
      </c>
      <c r="N67" s="6">
        <f t="shared" si="20"/>
        <v>997477.03444023838</v>
      </c>
    </row>
    <row r="68" spans="2:15">
      <c r="B68">
        <v>8</v>
      </c>
      <c r="C68" s="13">
        <v>2033</v>
      </c>
      <c r="D68" s="4">
        <f>'Other Fuel Impact Electric'!G16</f>
        <v>11817.116060961313</v>
      </c>
      <c r="E68" s="5">
        <f>D68*'Electric Emissions Intensity'!I11</f>
        <v>4254.1617819460726</v>
      </c>
      <c r="F68" t="s">
        <v>393</v>
      </c>
      <c r="G68" t="s">
        <v>393</v>
      </c>
      <c r="H68" s="5">
        <f t="shared" si="17"/>
        <v>4254.1617819460726</v>
      </c>
      <c r="I68" s="6">
        <f>'SCC in 2021 CDN'!E20</f>
        <v>308</v>
      </c>
      <c r="J68" t="s">
        <v>393</v>
      </c>
      <c r="K68" s="12">
        <v>0</v>
      </c>
      <c r="L68" s="6">
        <f t="shared" si="18"/>
        <v>308</v>
      </c>
      <c r="M68" s="2">
        <f t="shared" si="19"/>
        <v>0.85349037119011162</v>
      </c>
      <c r="N68" s="6">
        <f t="shared" si="20"/>
        <v>1118312.9244597896</v>
      </c>
    </row>
    <row r="69" spans="2:15">
      <c r="B69">
        <v>9</v>
      </c>
      <c r="C69" s="13">
        <v>2034</v>
      </c>
      <c r="D69" s="4">
        <f>'Other Fuel Impact Electric'!G17</f>
        <v>11817.116060961313</v>
      </c>
      <c r="E69" s="5">
        <f>D69*'Electric Emissions Intensity'!I12</f>
        <v>4360.515826494724</v>
      </c>
      <c r="F69" t="s">
        <v>393</v>
      </c>
      <c r="G69" t="s">
        <v>393</v>
      </c>
      <c r="H69" s="5">
        <f t="shared" si="17"/>
        <v>4360.515826494724</v>
      </c>
      <c r="I69" s="6">
        <f>'SCC in 2021 CDN'!E21</f>
        <v>313</v>
      </c>
      <c r="J69" t="s">
        <v>393</v>
      </c>
      <c r="K69" s="12">
        <v>0</v>
      </c>
      <c r="L69" s="6">
        <f t="shared" si="18"/>
        <v>313</v>
      </c>
      <c r="M69" s="2">
        <f t="shared" si="19"/>
        <v>0.83675526587265847</v>
      </c>
      <c r="N69" s="6">
        <f t="shared" si="20"/>
        <v>1142038.2734587851</v>
      </c>
    </row>
    <row r="70" spans="2:15">
      <c r="B70">
        <v>10</v>
      </c>
      <c r="C70" s="13">
        <v>2035</v>
      </c>
      <c r="D70" s="4">
        <f>'Other Fuel Impact Electric'!G18</f>
        <v>11817.116060961313</v>
      </c>
      <c r="E70" s="5">
        <f>D70*'Electric Emissions Intensity'!I13</f>
        <v>3178.8042203985933</v>
      </c>
      <c r="F70" t="s">
        <v>393</v>
      </c>
      <c r="G70" t="s">
        <v>393</v>
      </c>
      <c r="H70" s="5">
        <f t="shared" si="17"/>
        <v>3178.8042203985933</v>
      </c>
      <c r="I70" s="6">
        <f>'SCC in 2021 CDN'!E22</f>
        <v>317</v>
      </c>
      <c r="J70" t="s">
        <v>393</v>
      </c>
      <c r="K70" s="12">
        <v>0</v>
      </c>
      <c r="L70" s="6">
        <f t="shared" si="18"/>
        <v>317</v>
      </c>
      <c r="M70" s="2">
        <f t="shared" si="19"/>
        <v>0.82034829987515534</v>
      </c>
      <c r="N70" s="6">
        <f t="shared" si="20"/>
        <v>826649.34419526567</v>
      </c>
    </row>
    <row r="71" spans="2:15">
      <c r="B71">
        <v>11</v>
      </c>
      <c r="C71" s="13">
        <v>2036</v>
      </c>
      <c r="D71" s="4">
        <f>'Other Fuel Impact Electric'!G19</f>
        <v>11817.116060961313</v>
      </c>
      <c r="E71" s="5">
        <f>D71*'Electric Emissions Intensity'!I14</f>
        <v>4195.0762016412655</v>
      </c>
      <c r="F71" t="s">
        <v>393</v>
      </c>
      <c r="G71" t="s">
        <v>393</v>
      </c>
      <c r="H71" s="5">
        <f t="shared" si="17"/>
        <v>4195.0762016412655</v>
      </c>
      <c r="I71" s="6">
        <f>'SCC in 2021 CDN'!E23</f>
        <v>322</v>
      </c>
      <c r="J71" t="s">
        <v>393</v>
      </c>
      <c r="K71" s="12">
        <v>0</v>
      </c>
      <c r="L71" s="6">
        <f t="shared" si="18"/>
        <v>322</v>
      </c>
      <c r="M71" s="2">
        <f t="shared" si="19"/>
        <v>0.80426303909328967</v>
      </c>
      <c r="N71" s="6">
        <f t="shared" si="20"/>
        <v>1086410.2047215002</v>
      </c>
    </row>
    <row r="72" spans="2:15">
      <c r="B72">
        <v>12</v>
      </c>
      <c r="C72" s="13">
        <v>2037</v>
      </c>
      <c r="D72" s="4">
        <f>'Other Fuel Impact Electric'!G20</f>
        <v>11817.116060961313</v>
      </c>
      <c r="E72" s="5">
        <f>D72*'Electric Emissions Intensity'!I15</f>
        <v>3403.3294255568576</v>
      </c>
      <c r="F72" t="s">
        <v>393</v>
      </c>
      <c r="G72" t="s">
        <v>393</v>
      </c>
      <c r="H72" s="5">
        <f t="shared" si="17"/>
        <v>3403.3294255568576</v>
      </c>
      <c r="I72" s="6">
        <f>'SCC in 2021 CDN'!E24</f>
        <v>327</v>
      </c>
      <c r="J72" t="s">
        <v>393</v>
      </c>
      <c r="K72" s="12">
        <v>0</v>
      </c>
      <c r="L72" s="6">
        <f t="shared" si="18"/>
        <v>327</v>
      </c>
      <c r="M72" s="2">
        <f t="shared" si="19"/>
        <v>0.78849317558165644</v>
      </c>
      <c r="N72" s="6">
        <f t="shared" si="20"/>
        <v>877505.16260265769</v>
      </c>
    </row>
    <row r="73" spans="2:15">
      <c r="B73">
        <v>13</v>
      </c>
      <c r="C73" s="13">
        <v>2038</v>
      </c>
      <c r="D73" s="4">
        <f>'Other Fuel Impact Electric'!G21</f>
        <v>11817.116060961313</v>
      </c>
      <c r="E73" s="5">
        <f>D73*'Electric Emissions Intensity'!I16</f>
        <v>2824.2907385697536</v>
      </c>
      <c r="F73" t="s">
        <v>393</v>
      </c>
      <c r="G73" t="s">
        <v>393</v>
      </c>
      <c r="H73" s="5">
        <f t="shared" si="17"/>
        <v>2824.2907385697536</v>
      </c>
      <c r="I73" s="6">
        <f>'SCC in 2021 CDN'!E25</f>
        <v>331</v>
      </c>
      <c r="J73" t="s">
        <v>393</v>
      </c>
      <c r="K73" s="12">
        <v>0</v>
      </c>
      <c r="L73" s="6">
        <f t="shared" si="18"/>
        <v>331</v>
      </c>
      <c r="M73" s="2">
        <f t="shared" si="19"/>
        <v>0.77303252508005538</v>
      </c>
      <c r="N73" s="6">
        <f t="shared" si="20"/>
        <v>722661.90699613793</v>
      </c>
    </row>
    <row r="74" spans="2:15">
      <c r="B74">
        <v>14</v>
      </c>
      <c r="C74" s="13">
        <v>2039</v>
      </c>
      <c r="D74" s="4">
        <f>'Other Fuel Impact Electric'!G22</f>
        <v>11817.116060961313</v>
      </c>
      <c r="E74" s="5">
        <f>D74*'Electric Emissions Intensity'!I17</f>
        <v>2576.1313012895662</v>
      </c>
      <c r="F74" t="s">
        <v>393</v>
      </c>
      <c r="G74" t="s">
        <v>393</v>
      </c>
      <c r="H74" s="5">
        <f t="shared" si="17"/>
        <v>2576.1313012895662</v>
      </c>
      <c r="I74" s="6">
        <f>'SCC in 2021 CDN'!E26</f>
        <v>336</v>
      </c>
      <c r="J74" t="s">
        <v>393</v>
      </c>
      <c r="K74" s="12">
        <v>0</v>
      </c>
      <c r="L74" s="6">
        <f t="shared" si="18"/>
        <v>336</v>
      </c>
      <c r="M74" s="2">
        <f t="shared" si="19"/>
        <v>0.75787502458828948</v>
      </c>
      <c r="N74" s="6">
        <f t="shared" si="20"/>
        <v>656001.55263131741</v>
      </c>
    </row>
    <row r="75" spans="2:15">
      <c r="B75">
        <v>15</v>
      </c>
      <c r="C75" s="13">
        <v>2040</v>
      </c>
      <c r="D75" s="4">
        <f>'Other Fuel Impact Electric'!G23</f>
        <v>11817.116060961313</v>
      </c>
      <c r="E75" s="5">
        <f>D75*'Electric Emissions Intensity'!I18</f>
        <v>2611.5826494724502</v>
      </c>
      <c r="F75" t="s">
        <v>393</v>
      </c>
      <c r="G75" t="s">
        <v>393</v>
      </c>
      <c r="H75" s="5">
        <f t="shared" si="17"/>
        <v>2611.5826494724502</v>
      </c>
      <c r="I75" s="6">
        <f>'SCC in 2021 CDN'!E27</f>
        <v>341</v>
      </c>
      <c r="J75" t="s">
        <v>393</v>
      </c>
      <c r="K75" s="12">
        <v>0</v>
      </c>
      <c r="L75" s="6">
        <f t="shared" si="18"/>
        <v>341</v>
      </c>
      <c r="M75" s="2">
        <f t="shared" si="19"/>
        <v>0.74301472998851925</v>
      </c>
      <c r="N75" s="6">
        <f t="shared" si="20"/>
        <v>661691.5326049017</v>
      </c>
    </row>
    <row r="76" spans="2:15">
      <c r="N76" s="32">
        <f>SUM(N61:N75)</f>
        <v>14022332.157762179</v>
      </c>
      <c r="O76" s="14" t="s">
        <v>394</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0407C-2E63-4C8F-85AF-0966CEE170B1}">
  <sheetPr>
    <tabColor theme="3" tint="0.749992370372631"/>
  </sheetPr>
  <dimension ref="D1:G67"/>
  <sheetViews>
    <sheetView topLeftCell="A25" zoomScaleNormal="100" workbookViewId="0">
      <selection activeCell="Q34" sqref="Q34"/>
    </sheetView>
  </sheetViews>
  <sheetFormatPr defaultRowHeight="14.45"/>
  <cols>
    <col min="6" max="6" width="10.5703125" customWidth="1"/>
    <col min="7" max="7" width="13.42578125" customWidth="1"/>
  </cols>
  <sheetData>
    <row r="1" spans="4:7">
      <c r="D1" t="s">
        <v>395</v>
      </c>
    </row>
    <row r="2" spans="4:7">
      <c r="D2" s="25" t="s">
        <v>396</v>
      </c>
    </row>
    <row r="4" spans="4:7">
      <c r="D4" t="s">
        <v>397</v>
      </c>
    </row>
    <row r="6" spans="4:7" ht="31.5" thickBot="1">
      <c r="D6" s="7" t="s">
        <v>375</v>
      </c>
      <c r="E6" s="7" t="s">
        <v>398</v>
      </c>
      <c r="F6" s="7" t="s">
        <v>399</v>
      </c>
      <c r="G6" s="7" t="s">
        <v>400</v>
      </c>
    </row>
    <row r="7" spans="4:7" ht="15.95" thickBot="1">
      <c r="D7" s="8">
        <v>2020</v>
      </c>
      <c r="E7" s="22">
        <v>247</v>
      </c>
      <c r="F7" s="22">
        <v>2107</v>
      </c>
      <c r="G7" s="22">
        <v>69230</v>
      </c>
    </row>
    <row r="8" spans="4:7" ht="15.95" thickBot="1">
      <c r="D8" s="9">
        <v>2021</v>
      </c>
      <c r="E8" s="23">
        <v>252</v>
      </c>
      <c r="F8" s="23">
        <v>2203</v>
      </c>
      <c r="G8" s="23">
        <v>70797</v>
      </c>
    </row>
    <row r="9" spans="4:7" ht="15.95" thickBot="1">
      <c r="D9" s="8">
        <v>2022</v>
      </c>
      <c r="E9" s="22">
        <v>256</v>
      </c>
      <c r="F9" s="22">
        <v>2300</v>
      </c>
      <c r="G9" s="22">
        <v>72364</v>
      </c>
    </row>
    <row r="10" spans="4:7" ht="15.95" thickBot="1">
      <c r="D10" s="9">
        <v>2023</v>
      </c>
      <c r="E10" s="23">
        <v>261</v>
      </c>
      <c r="F10" s="23">
        <v>2396</v>
      </c>
      <c r="G10" s="23">
        <v>73932</v>
      </c>
    </row>
    <row r="11" spans="4:7" ht="15.95" thickBot="1">
      <c r="D11" s="8">
        <v>2024</v>
      </c>
      <c r="E11" s="22">
        <v>266</v>
      </c>
      <c r="F11" s="22">
        <v>2494</v>
      </c>
      <c r="G11" s="22">
        <v>75499</v>
      </c>
    </row>
    <row r="12" spans="4:7" ht="15.95" thickBot="1">
      <c r="D12" s="9">
        <v>2025</v>
      </c>
      <c r="E12" s="23">
        <v>271</v>
      </c>
      <c r="F12" s="23">
        <v>2589</v>
      </c>
      <c r="G12" s="23">
        <v>77066</v>
      </c>
    </row>
    <row r="13" spans="4:7" ht="15.95" thickBot="1">
      <c r="D13" s="8">
        <v>2026</v>
      </c>
      <c r="E13" s="22">
        <v>275</v>
      </c>
      <c r="F13" s="22">
        <v>2687</v>
      </c>
      <c r="G13" s="22">
        <v>78633</v>
      </c>
    </row>
    <row r="14" spans="4:7" ht="15.95" thickBot="1">
      <c r="D14" s="9">
        <v>2027</v>
      </c>
      <c r="E14" s="23">
        <v>280</v>
      </c>
      <c r="F14" s="23">
        <v>2783</v>
      </c>
      <c r="G14" s="23">
        <v>80201</v>
      </c>
    </row>
    <row r="15" spans="4:7" ht="15.95" thickBot="1">
      <c r="D15" s="8">
        <v>2028</v>
      </c>
      <c r="E15" s="22">
        <v>285</v>
      </c>
      <c r="F15" s="22">
        <v>2880</v>
      </c>
      <c r="G15" s="22">
        <v>81768</v>
      </c>
    </row>
    <row r="16" spans="4:7" ht="15.95" thickBot="1">
      <c r="D16" s="9">
        <v>2029</v>
      </c>
      <c r="E16" s="23">
        <v>289</v>
      </c>
      <c r="F16" s="23">
        <v>2976</v>
      </c>
      <c r="G16" s="23">
        <v>83335</v>
      </c>
    </row>
    <row r="17" spans="4:7" ht="15.95" thickBot="1">
      <c r="D17" s="8">
        <v>2030</v>
      </c>
      <c r="E17" s="22">
        <v>294</v>
      </c>
      <c r="F17" s="22">
        <v>3073</v>
      </c>
      <c r="G17" s="22">
        <v>84903</v>
      </c>
    </row>
    <row r="18" spans="4:7" ht="15.95" thickBot="1">
      <c r="D18" s="9">
        <v>2031</v>
      </c>
      <c r="E18" s="23">
        <v>299</v>
      </c>
      <c r="F18" s="23">
        <v>3184</v>
      </c>
      <c r="G18" s="23">
        <v>86501</v>
      </c>
    </row>
    <row r="19" spans="4:7" ht="15.95" thickBot="1">
      <c r="D19" s="8">
        <v>2032</v>
      </c>
      <c r="E19" s="22">
        <v>303</v>
      </c>
      <c r="F19" s="22">
        <v>3297</v>
      </c>
      <c r="G19" s="22">
        <v>88099</v>
      </c>
    </row>
    <row r="20" spans="4:7" ht="15.95" thickBot="1">
      <c r="D20" s="9">
        <v>2033</v>
      </c>
      <c r="E20" s="23">
        <v>308</v>
      </c>
      <c r="F20" s="23">
        <v>3409</v>
      </c>
      <c r="G20" s="23">
        <v>89698</v>
      </c>
    </row>
    <row r="21" spans="4:7" ht="15.95" thickBot="1">
      <c r="D21" s="8">
        <v>2034</v>
      </c>
      <c r="E21" s="22">
        <v>313</v>
      </c>
      <c r="F21" s="22">
        <v>3522</v>
      </c>
      <c r="G21" s="22">
        <v>91295</v>
      </c>
    </row>
    <row r="22" spans="4:7" ht="15.95" thickBot="1">
      <c r="D22" s="9">
        <v>2035</v>
      </c>
      <c r="E22" s="23">
        <v>317</v>
      </c>
      <c r="F22" s="23">
        <v>3634</v>
      </c>
      <c r="G22" s="23">
        <v>92894</v>
      </c>
    </row>
    <row r="23" spans="4:7" ht="15.95" thickBot="1">
      <c r="D23" s="8">
        <v>2036</v>
      </c>
      <c r="E23" s="22">
        <v>322</v>
      </c>
      <c r="F23" s="22">
        <v>3745</v>
      </c>
      <c r="G23" s="22">
        <v>94492</v>
      </c>
    </row>
    <row r="24" spans="4:7" ht="15.95" thickBot="1">
      <c r="D24" s="9">
        <v>2037</v>
      </c>
      <c r="E24" s="23">
        <v>327</v>
      </c>
      <c r="F24" s="23">
        <v>3858</v>
      </c>
      <c r="G24" s="23">
        <v>96090</v>
      </c>
    </row>
    <row r="25" spans="4:7" ht="15.95" thickBot="1">
      <c r="D25" s="8">
        <v>2038</v>
      </c>
      <c r="E25" s="22">
        <v>331</v>
      </c>
      <c r="F25" s="22">
        <v>3971</v>
      </c>
      <c r="G25" s="22">
        <v>97689</v>
      </c>
    </row>
    <row r="26" spans="4:7" ht="15.95" thickBot="1">
      <c r="D26" s="9">
        <v>2039</v>
      </c>
      <c r="E26" s="23">
        <v>336</v>
      </c>
      <c r="F26" s="23">
        <v>4083</v>
      </c>
      <c r="G26" s="23">
        <v>99287</v>
      </c>
    </row>
    <row r="27" spans="4:7" ht="15.95" thickBot="1">
      <c r="D27" s="8">
        <v>2040</v>
      </c>
      <c r="E27" s="22">
        <v>341</v>
      </c>
      <c r="F27" s="22">
        <v>4194</v>
      </c>
      <c r="G27" s="22">
        <v>100886</v>
      </c>
    </row>
    <row r="28" spans="4:7" ht="15.95" thickBot="1">
      <c r="D28" s="9">
        <v>2041</v>
      </c>
      <c r="E28" s="23">
        <v>347</v>
      </c>
      <c r="F28" s="23">
        <v>4316</v>
      </c>
      <c r="G28" s="23">
        <v>102689</v>
      </c>
    </row>
    <row r="29" spans="4:7" ht="15.95" thickBot="1">
      <c r="D29" s="8">
        <v>2042</v>
      </c>
      <c r="E29" s="22">
        <v>352</v>
      </c>
      <c r="F29" s="22">
        <v>4439</v>
      </c>
      <c r="G29" s="22">
        <v>104492</v>
      </c>
    </row>
    <row r="30" spans="4:7" ht="15.95" thickBot="1">
      <c r="D30" s="9">
        <v>2043</v>
      </c>
      <c r="E30" s="23">
        <v>357</v>
      </c>
      <c r="F30" s="23">
        <v>4560</v>
      </c>
      <c r="G30" s="23">
        <v>106295</v>
      </c>
    </row>
    <row r="31" spans="4:7" ht="15.95" thickBot="1">
      <c r="D31" s="8">
        <v>2044</v>
      </c>
      <c r="E31" s="22">
        <v>362</v>
      </c>
      <c r="F31" s="22">
        <v>4682</v>
      </c>
      <c r="G31" s="22">
        <v>108099</v>
      </c>
    </row>
    <row r="32" spans="4:7" ht="15.95" thickBot="1">
      <c r="D32" s="9">
        <v>2045</v>
      </c>
      <c r="E32" s="23">
        <v>367</v>
      </c>
      <c r="F32" s="23">
        <v>4803</v>
      </c>
      <c r="G32" s="23">
        <v>109902</v>
      </c>
    </row>
    <row r="33" spans="4:7" ht="15.95" thickBot="1">
      <c r="D33" s="8">
        <v>2046</v>
      </c>
      <c r="E33" s="22">
        <v>372</v>
      </c>
      <c r="F33" s="22">
        <v>4924</v>
      </c>
      <c r="G33" s="22">
        <v>111705</v>
      </c>
    </row>
    <row r="34" spans="4:7" ht="15.95" thickBot="1">
      <c r="D34" s="9">
        <v>2047</v>
      </c>
      <c r="E34" s="23">
        <v>379</v>
      </c>
      <c r="F34" s="23">
        <v>5046</v>
      </c>
      <c r="G34" s="23">
        <v>113508</v>
      </c>
    </row>
    <row r="35" spans="4:7" ht="15.95" thickBot="1">
      <c r="D35" s="8">
        <v>2048</v>
      </c>
      <c r="E35" s="22">
        <v>384</v>
      </c>
      <c r="F35" s="22">
        <v>5167</v>
      </c>
      <c r="G35" s="22">
        <v>115313</v>
      </c>
    </row>
    <row r="36" spans="4:7" ht="15.95" thickBot="1">
      <c r="D36" s="9">
        <v>2049</v>
      </c>
      <c r="E36" s="23">
        <v>389</v>
      </c>
      <c r="F36" s="23">
        <v>5289</v>
      </c>
      <c r="G36" s="23">
        <v>117116</v>
      </c>
    </row>
    <row r="37" spans="4:7" ht="15.95" thickBot="1">
      <c r="D37" s="8">
        <v>2050</v>
      </c>
      <c r="E37" s="22">
        <v>394</v>
      </c>
      <c r="F37" s="22">
        <v>5410</v>
      </c>
      <c r="G37" s="22">
        <v>118919</v>
      </c>
    </row>
    <row r="38" spans="4:7" ht="15.95" thickBot="1">
      <c r="D38" s="9">
        <v>2051</v>
      </c>
      <c r="E38" s="23">
        <v>399</v>
      </c>
      <c r="F38" s="23">
        <v>5524</v>
      </c>
      <c r="G38" s="23">
        <v>120610</v>
      </c>
    </row>
    <row r="39" spans="4:7" ht="15.95" thickBot="1">
      <c r="D39" s="8">
        <v>2052</v>
      </c>
      <c r="E39" s="22">
        <v>403</v>
      </c>
      <c r="F39" s="22">
        <v>5638</v>
      </c>
      <c r="G39" s="22">
        <v>122302</v>
      </c>
    </row>
    <row r="40" spans="4:7" ht="15.95" thickBot="1">
      <c r="D40" s="9">
        <v>2053</v>
      </c>
      <c r="E40" s="23">
        <v>408</v>
      </c>
      <c r="F40" s="23">
        <v>5751</v>
      </c>
      <c r="G40" s="23">
        <v>123994</v>
      </c>
    </row>
    <row r="41" spans="4:7" ht="15.95" thickBot="1">
      <c r="D41" s="8">
        <v>2054</v>
      </c>
      <c r="E41" s="22">
        <v>413</v>
      </c>
      <c r="F41" s="22">
        <v>5864</v>
      </c>
      <c r="G41" s="22">
        <v>125686</v>
      </c>
    </row>
    <row r="42" spans="4:7" ht="15.95" thickBot="1">
      <c r="D42" s="9">
        <v>2055</v>
      </c>
      <c r="E42" s="23">
        <v>417</v>
      </c>
      <c r="F42" s="23">
        <v>5978</v>
      </c>
      <c r="G42" s="23">
        <v>127379</v>
      </c>
    </row>
    <row r="43" spans="4:7" ht="15.95" thickBot="1">
      <c r="D43" s="8">
        <v>2056</v>
      </c>
      <c r="E43" s="22">
        <v>422</v>
      </c>
      <c r="F43" s="22">
        <v>6091</v>
      </c>
      <c r="G43" s="22">
        <v>129071</v>
      </c>
    </row>
    <row r="44" spans="4:7" ht="15.95" thickBot="1">
      <c r="D44" s="9">
        <v>2057</v>
      </c>
      <c r="E44" s="23">
        <v>427</v>
      </c>
      <c r="F44" s="23">
        <v>6204</v>
      </c>
      <c r="G44" s="23">
        <v>130762</v>
      </c>
    </row>
    <row r="45" spans="4:7" ht="15.95" thickBot="1">
      <c r="D45" s="8">
        <v>2058</v>
      </c>
      <c r="E45" s="22">
        <v>432</v>
      </c>
      <c r="F45" s="22">
        <v>6318</v>
      </c>
      <c r="G45" s="22">
        <v>132454</v>
      </c>
    </row>
    <row r="46" spans="4:7" ht="15.95" thickBot="1">
      <c r="D46" s="9">
        <v>2059</v>
      </c>
      <c r="E46" s="23">
        <v>436</v>
      </c>
      <c r="F46" s="23">
        <v>6431</v>
      </c>
      <c r="G46" s="23">
        <v>134146</v>
      </c>
    </row>
    <row r="47" spans="4:7" ht="15.95" thickBot="1">
      <c r="D47" s="8">
        <v>2060</v>
      </c>
      <c r="E47" s="22">
        <v>441</v>
      </c>
      <c r="F47" s="22">
        <v>6545</v>
      </c>
      <c r="G47" s="22">
        <v>135838</v>
      </c>
    </row>
    <row r="48" spans="4:7" ht="15.95" thickBot="1">
      <c r="D48" s="9">
        <v>2061</v>
      </c>
      <c r="E48" s="23">
        <v>445</v>
      </c>
      <c r="F48" s="23">
        <v>6648</v>
      </c>
      <c r="G48" s="23">
        <v>137319</v>
      </c>
    </row>
    <row r="49" spans="4:7" ht="15.95" thickBot="1">
      <c r="D49" s="8">
        <v>2062</v>
      </c>
      <c r="E49" s="22">
        <v>449</v>
      </c>
      <c r="F49" s="22">
        <v>6752</v>
      </c>
      <c r="G49" s="22">
        <v>138798</v>
      </c>
    </row>
    <row r="50" spans="4:7" ht="15.95" thickBot="1">
      <c r="D50" s="9">
        <v>2063</v>
      </c>
      <c r="E50" s="23">
        <v>453</v>
      </c>
      <c r="F50" s="23">
        <v>6855</v>
      </c>
      <c r="G50" s="23">
        <v>140279</v>
      </c>
    </row>
    <row r="51" spans="4:7" ht="15.95" thickBot="1">
      <c r="D51" s="8">
        <v>2064</v>
      </c>
      <c r="E51" s="22">
        <v>457</v>
      </c>
      <c r="F51" s="22">
        <v>6959</v>
      </c>
      <c r="G51" s="22">
        <v>141758</v>
      </c>
    </row>
    <row r="52" spans="4:7" ht="15.95" thickBot="1">
      <c r="D52" s="9">
        <v>2065</v>
      </c>
      <c r="E52" s="23">
        <v>460</v>
      </c>
      <c r="F52" s="23">
        <v>7063</v>
      </c>
      <c r="G52" s="23">
        <v>143239</v>
      </c>
    </row>
    <row r="53" spans="4:7" ht="15.95" thickBot="1">
      <c r="D53" s="8">
        <v>2066</v>
      </c>
      <c r="E53" s="22">
        <v>464</v>
      </c>
      <c r="F53" s="22">
        <v>7166</v>
      </c>
      <c r="G53" s="22">
        <v>144719</v>
      </c>
    </row>
    <row r="54" spans="4:7" ht="15.95" thickBot="1">
      <c r="D54" s="9">
        <v>2067</v>
      </c>
      <c r="E54" s="23">
        <v>468</v>
      </c>
      <c r="F54" s="23">
        <v>7270</v>
      </c>
      <c r="G54" s="23">
        <v>146199</v>
      </c>
    </row>
    <row r="55" spans="4:7" ht="15.95" thickBot="1">
      <c r="D55" s="8">
        <v>2068</v>
      </c>
      <c r="E55" s="22">
        <v>472</v>
      </c>
      <c r="F55" s="22">
        <v>7372</v>
      </c>
      <c r="G55" s="22">
        <v>147679</v>
      </c>
    </row>
    <row r="56" spans="4:7" ht="15.95" thickBot="1">
      <c r="D56" s="9">
        <v>2069</v>
      </c>
      <c r="E56" s="23">
        <v>476</v>
      </c>
      <c r="F56" s="23">
        <v>7476</v>
      </c>
      <c r="G56" s="23">
        <v>149160</v>
      </c>
    </row>
    <row r="57" spans="4:7" ht="15.95" thickBot="1">
      <c r="D57" s="8">
        <v>2070</v>
      </c>
      <c r="E57" s="22">
        <v>480</v>
      </c>
      <c r="F57" s="22">
        <v>7579</v>
      </c>
      <c r="G57" s="22">
        <v>150639</v>
      </c>
    </row>
    <row r="58" spans="4:7" ht="15.95" thickBot="1">
      <c r="D58" s="9">
        <v>2071</v>
      </c>
      <c r="E58" s="23">
        <v>483</v>
      </c>
      <c r="F58" s="23">
        <v>7689</v>
      </c>
      <c r="G58" s="23">
        <v>152206</v>
      </c>
    </row>
    <row r="59" spans="4:7" ht="15.95" thickBot="1">
      <c r="D59" s="8">
        <v>2072</v>
      </c>
      <c r="E59" s="22">
        <v>488</v>
      </c>
      <c r="F59" s="22">
        <v>7799</v>
      </c>
      <c r="G59" s="22">
        <v>153772</v>
      </c>
    </row>
    <row r="60" spans="4:7" ht="15.95" thickBot="1">
      <c r="D60" s="9">
        <v>2073</v>
      </c>
      <c r="E60" s="23">
        <v>492</v>
      </c>
      <c r="F60" s="23">
        <v>7908</v>
      </c>
      <c r="G60" s="23">
        <v>155339</v>
      </c>
    </row>
    <row r="61" spans="4:7" ht="15.95" thickBot="1">
      <c r="D61" s="8">
        <v>2074</v>
      </c>
      <c r="E61" s="22">
        <v>496</v>
      </c>
      <c r="F61" s="22">
        <v>8018</v>
      </c>
      <c r="G61" s="22">
        <v>156905</v>
      </c>
    </row>
    <row r="62" spans="4:7" ht="15.95" thickBot="1">
      <c r="D62" s="9">
        <v>2075</v>
      </c>
      <c r="E62" s="23">
        <v>500</v>
      </c>
      <c r="F62" s="23">
        <v>8126</v>
      </c>
      <c r="G62" s="23">
        <v>158470</v>
      </c>
    </row>
    <row r="63" spans="4:7" ht="15.95" thickBot="1">
      <c r="D63" s="8">
        <v>2076</v>
      </c>
      <c r="E63" s="22">
        <v>504</v>
      </c>
      <c r="F63" s="22">
        <v>8236</v>
      </c>
      <c r="G63" s="22">
        <v>160037</v>
      </c>
    </row>
    <row r="64" spans="4:7" ht="15.95" thickBot="1">
      <c r="D64" s="9">
        <v>2077</v>
      </c>
      <c r="E64" s="23">
        <v>509</v>
      </c>
      <c r="F64" s="23">
        <v>8346</v>
      </c>
      <c r="G64" s="23">
        <v>161603</v>
      </c>
    </row>
    <row r="65" spans="4:7" ht="15.95" thickBot="1">
      <c r="D65" s="8">
        <v>2078</v>
      </c>
      <c r="E65" s="22">
        <v>513</v>
      </c>
      <c r="F65" s="22">
        <v>8455</v>
      </c>
      <c r="G65" s="22">
        <v>163170</v>
      </c>
    </row>
    <row r="66" spans="4:7" ht="15.95" thickBot="1">
      <c r="D66" s="9">
        <v>2079</v>
      </c>
      <c r="E66" s="23">
        <v>517</v>
      </c>
      <c r="F66" s="23">
        <v>8565</v>
      </c>
      <c r="G66" s="23">
        <v>164736</v>
      </c>
    </row>
    <row r="67" spans="4:7" ht="15.6">
      <c r="D67" s="8">
        <v>2080</v>
      </c>
      <c r="E67" s="22">
        <v>520</v>
      </c>
      <c r="F67" s="22">
        <v>8674</v>
      </c>
      <c r="G67" s="22">
        <v>166301</v>
      </c>
    </row>
  </sheetData>
  <hyperlinks>
    <hyperlink ref="D2" r:id="rId1" location="toc13" xr:uid="{E4FC3832-CB58-474B-82EB-A8263BC3DD60}"/>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47D39-762F-47C9-814F-109C85DBCB41}">
  <sheetPr>
    <tabColor theme="3" tint="0.749992370372631"/>
  </sheetPr>
  <dimension ref="C3:H45"/>
  <sheetViews>
    <sheetView topLeftCell="A26" workbookViewId="0">
      <selection activeCell="F30" sqref="F30"/>
    </sheetView>
  </sheetViews>
  <sheetFormatPr defaultRowHeight="14.45"/>
  <cols>
    <col min="3" max="3" width="14.42578125" customWidth="1"/>
    <col min="5" max="5" width="12.85546875" customWidth="1"/>
    <col min="6" max="6" width="14.42578125" customWidth="1"/>
    <col min="8" max="8" width="14.42578125" customWidth="1"/>
  </cols>
  <sheetData>
    <row r="3" spans="3:8" ht="69.599999999999994" customHeight="1">
      <c r="C3" s="35" t="s">
        <v>401</v>
      </c>
      <c r="F3" t="s">
        <v>402</v>
      </c>
      <c r="G3" t="s">
        <v>403</v>
      </c>
    </row>
    <row r="4" spans="3:8">
      <c r="C4" t="s">
        <v>404</v>
      </c>
      <c r="D4">
        <v>0.34</v>
      </c>
    </row>
    <row r="5" spans="3:8">
      <c r="C5" t="s">
        <v>405</v>
      </c>
      <c r="D5">
        <v>0.77</v>
      </c>
    </row>
    <row r="6" spans="3:8">
      <c r="C6" t="s">
        <v>406</v>
      </c>
      <c r="D6">
        <f>(D4+D5)/2</f>
        <v>0.55500000000000005</v>
      </c>
      <c r="F6">
        <f>D6*1.3268</f>
        <v>0.73637400000000008</v>
      </c>
      <c r="G6">
        <v>0.77</v>
      </c>
    </row>
    <row r="10" spans="3:8" ht="72.599999999999994">
      <c r="C10" s="35" t="s">
        <v>407</v>
      </c>
      <c r="D10" s="16" t="s">
        <v>375</v>
      </c>
      <c r="E10" s="17" t="s">
        <v>378</v>
      </c>
      <c r="F10" s="17" t="s">
        <v>408</v>
      </c>
      <c r="G10" s="17" t="s">
        <v>299</v>
      </c>
      <c r="H10" s="17" t="s">
        <v>409</v>
      </c>
    </row>
    <row r="11" spans="3:8">
      <c r="C11">
        <v>1</v>
      </c>
      <c r="D11" s="13">
        <v>2026</v>
      </c>
      <c r="E11" s="4">
        <f>('Residential Heat Pump Measure'!$D$33*'Residential Heat Pump Measure'!$D$36)/1000</f>
        <v>7878.077373974209</v>
      </c>
      <c r="F11" s="11">
        <f>((E11*$G$6)/100)*1000</f>
        <v>60661.19577960141</v>
      </c>
      <c r="G11" s="2">
        <v>0.98039215686274506</v>
      </c>
      <c r="H11" s="11">
        <f>F11*G11</f>
        <v>59471.760568236677</v>
      </c>
    </row>
    <row r="12" spans="3:8">
      <c r="C12">
        <f>C11+1</f>
        <v>2</v>
      </c>
      <c r="D12" s="13">
        <f>D11+1</f>
        <v>2027</v>
      </c>
      <c r="E12" s="4">
        <f>('Residential Heat Pump Measure'!$D$33*'Residential Heat Pump Measure'!$D$36)/1000</f>
        <v>7878.077373974209</v>
      </c>
      <c r="F12" s="11">
        <f t="shared" ref="F12:F25" si="0">((E12*$G$6)/100)*1000</f>
        <v>60661.19577960141</v>
      </c>
      <c r="G12" s="2">
        <v>0.96116878123798544</v>
      </c>
      <c r="H12" s="11">
        <f t="shared" ref="H12:H25" si="1">F12*G12</f>
        <v>58305.647615918315</v>
      </c>
    </row>
    <row r="13" spans="3:8">
      <c r="C13">
        <f t="shared" ref="C13:D25" si="2">C12+1</f>
        <v>3</v>
      </c>
      <c r="D13" s="13">
        <f t="shared" si="2"/>
        <v>2028</v>
      </c>
      <c r="E13" s="4">
        <f>('Residential Heat Pump Measure'!$D$33*'Residential Heat Pump Measure'!$D$36)/1000</f>
        <v>7878.077373974209</v>
      </c>
      <c r="F13" s="11">
        <f t="shared" si="0"/>
        <v>60661.19577960141</v>
      </c>
      <c r="G13" s="2">
        <v>0.94232233454704462</v>
      </c>
      <c r="H13" s="11">
        <f t="shared" si="1"/>
        <v>57162.399623449332</v>
      </c>
    </row>
    <row r="14" spans="3:8">
      <c r="C14">
        <f t="shared" si="2"/>
        <v>4</v>
      </c>
      <c r="D14" s="13">
        <f t="shared" si="2"/>
        <v>2029</v>
      </c>
      <c r="E14" s="4">
        <f>('Residential Heat Pump Measure'!$D$33*'Residential Heat Pump Measure'!$D$36)/1000</f>
        <v>7878.077373974209</v>
      </c>
      <c r="F14" s="11">
        <f t="shared" si="0"/>
        <v>60661.19577960141</v>
      </c>
      <c r="G14" s="2">
        <v>0.9238454260265142</v>
      </c>
      <c r="H14" s="11">
        <f t="shared" si="1"/>
        <v>56041.568258283653</v>
      </c>
    </row>
    <row r="15" spans="3:8">
      <c r="C15">
        <f t="shared" si="2"/>
        <v>5</v>
      </c>
      <c r="D15" s="13">
        <f t="shared" si="2"/>
        <v>2030</v>
      </c>
      <c r="E15" s="4">
        <f>('Residential Heat Pump Measure'!$D$33*'Residential Heat Pump Measure'!$D$36)/1000</f>
        <v>7878.077373974209</v>
      </c>
      <c r="F15" s="11">
        <f t="shared" si="0"/>
        <v>60661.19577960141</v>
      </c>
      <c r="G15" s="2">
        <v>0.90573080982991594</v>
      </c>
      <c r="H15" s="11">
        <f t="shared" si="1"/>
        <v>54942.713978709464</v>
      </c>
    </row>
    <row r="16" spans="3:8">
      <c r="C16">
        <f t="shared" si="2"/>
        <v>6</v>
      </c>
      <c r="D16" s="13">
        <f t="shared" si="2"/>
        <v>2031</v>
      </c>
      <c r="E16" s="4">
        <f>('Residential Heat Pump Measure'!$D$33*'Residential Heat Pump Measure'!$D$36)/1000</f>
        <v>7878.077373974209</v>
      </c>
      <c r="F16" s="11">
        <f t="shared" si="0"/>
        <v>60661.19577960141</v>
      </c>
      <c r="G16" s="2">
        <v>0.88797138218619198</v>
      </c>
      <c r="H16" s="11">
        <f t="shared" si="1"/>
        <v>53865.405861479863</v>
      </c>
    </row>
    <row r="17" spans="3:8">
      <c r="C17">
        <f t="shared" si="2"/>
        <v>7</v>
      </c>
      <c r="D17" s="13">
        <f t="shared" si="2"/>
        <v>2032</v>
      </c>
      <c r="E17" s="4">
        <f>('Residential Heat Pump Measure'!$D$33*'Residential Heat Pump Measure'!$D$36)/1000</f>
        <v>7878.077373974209</v>
      </c>
      <c r="F17" s="11">
        <f t="shared" si="0"/>
        <v>60661.19577960141</v>
      </c>
      <c r="G17" s="2">
        <v>0.87056017861391388</v>
      </c>
      <c r="H17" s="11">
        <f t="shared" si="1"/>
        <v>52809.221432823404</v>
      </c>
    </row>
    <row r="18" spans="3:8">
      <c r="C18">
        <f t="shared" si="2"/>
        <v>8</v>
      </c>
      <c r="D18" s="13">
        <f t="shared" si="2"/>
        <v>2033</v>
      </c>
      <c r="E18" s="4">
        <f>('Residential Heat Pump Measure'!$D$33*'Residential Heat Pump Measure'!$D$36)/1000</f>
        <v>7878.077373974209</v>
      </c>
      <c r="F18" s="11">
        <f t="shared" si="0"/>
        <v>60661.19577960141</v>
      </c>
      <c r="G18" s="2">
        <v>0.85349037119011162</v>
      </c>
      <c r="H18" s="11">
        <f t="shared" si="1"/>
        <v>51773.746502768037</v>
      </c>
    </row>
    <row r="19" spans="3:8">
      <c r="C19">
        <f t="shared" si="2"/>
        <v>9</v>
      </c>
      <c r="D19" s="13">
        <f t="shared" si="2"/>
        <v>2034</v>
      </c>
      <c r="E19" s="4">
        <f>('Residential Heat Pump Measure'!$D$33*'Residential Heat Pump Measure'!$D$36)/1000</f>
        <v>7878.077373974209</v>
      </c>
      <c r="F19" s="11">
        <f t="shared" si="0"/>
        <v>60661.19577960141</v>
      </c>
      <c r="G19" s="2">
        <v>0.83675526587265847</v>
      </c>
      <c r="H19" s="11">
        <f t="shared" si="1"/>
        <v>50758.575002713769</v>
      </c>
    </row>
    <row r="20" spans="3:8">
      <c r="C20">
        <f t="shared" si="2"/>
        <v>10</v>
      </c>
      <c r="D20" s="13">
        <f t="shared" si="2"/>
        <v>2035</v>
      </c>
      <c r="E20" s="4">
        <f>('Residential Heat Pump Measure'!$D$33*'Residential Heat Pump Measure'!$D$36)/1000</f>
        <v>7878.077373974209</v>
      </c>
      <c r="F20" s="11">
        <f t="shared" si="0"/>
        <v>60661.19577960141</v>
      </c>
      <c r="G20" s="2">
        <v>0.82034829987515534</v>
      </c>
      <c r="H20" s="11">
        <f t="shared" si="1"/>
        <v>49763.308826189968</v>
      </c>
    </row>
    <row r="21" spans="3:8">
      <c r="C21">
        <f t="shared" si="2"/>
        <v>11</v>
      </c>
      <c r="D21" s="13">
        <f t="shared" si="2"/>
        <v>2036</v>
      </c>
      <c r="E21" s="4">
        <f>('Residential Heat Pump Measure'!$D$33*'Residential Heat Pump Measure'!$D$36)/1000</f>
        <v>7878.077373974209</v>
      </c>
      <c r="F21" s="11">
        <f t="shared" si="0"/>
        <v>60661.19577960141</v>
      </c>
      <c r="G21" s="2">
        <v>0.80426303909328967</v>
      </c>
      <c r="H21" s="11">
        <f t="shared" si="1"/>
        <v>48787.557672735267</v>
      </c>
    </row>
    <row r="22" spans="3:8">
      <c r="C22">
        <f t="shared" si="2"/>
        <v>12</v>
      </c>
      <c r="D22" s="13">
        <f t="shared" si="2"/>
        <v>2037</v>
      </c>
      <c r="E22" s="4">
        <f>('Residential Heat Pump Measure'!$D$33*'Residential Heat Pump Measure'!$D$36)/1000</f>
        <v>7878.077373974209</v>
      </c>
      <c r="F22" s="11">
        <f t="shared" si="0"/>
        <v>60661.19577960141</v>
      </c>
      <c r="G22" s="2">
        <v>0.78849317558165644</v>
      </c>
      <c r="H22" s="11">
        <f t="shared" si="1"/>
        <v>47830.938894838488</v>
      </c>
    </row>
    <row r="23" spans="3:8">
      <c r="C23">
        <f t="shared" si="2"/>
        <v>13</v>
      </c>
      <c r="D23" s="13">
        <f t="shared" si="2"/>
        <v>2038</v>
      </c>
      <c r="E23" s="4">
        <f>('Residential Heat Pump Measure'!$D$33*'Residential Heat Pump Measure'!$D$36)/1000</f>
        <v>7878.077373974209</v>
      </c>
      <c r="F23" s="11">
        <f t="shared" si="0"/>
        <v>60661.19577960141</v>
      </c>
      <c r="G23" s="2">
        <v>0.77303252508005538</v>
      </c>
      <c r="H23" s="11">
        <f t="shared" si="1"/>
        <v>46893.077347880877</v>
      </c>
    </row>
    <row r="24" spans="3:8">
      <c r="C24">
        <f t="shared" si="2"/>
        <v>14</v>
      </c>
      <c r="D24" s="13">
        <f t="shared" si="2"/>
        <v>2039</v>
      </c>
      <c r="E24" s="4">
        <f>('Residential Heat Pump Measure'!$D$33*'Residential Heat Pump Measure'!$D$36)/1000</f>
        <v>7878.077373974209</v>
      </c>
      <c r="F24" s="11">
        <f t="shared" si="0"/>
        <v>60661.19577960141</v>
      </c>
      <c r="G24" s="2">
        <v>0.75787502458828948</v>
      </c>
      <c r="H24" s="11">
        <f t="shared" si="1"/>
        <v>45973.605243020458</v>
      </c>
    </row>
    <row r="25" spans="3:8">
      <c r="C25">
        <f t="shared" si="2"/>
        <v>15</v>
      </c>
      <c r="D25" s="13">
        <f t="shared" si="2"/>
        <v>2040</v>
      </c>
      <c r="E25" s="4">
        <f>('Residential Heat Pump Measure'!$D$33*'Residential Heat Pump Measure'!$D$36)/1000</f>
        <v>7878.077373974209</v>
      </c>
      <c r="F25" s="11">
        <f t="shared" si="0"/>
        <v>60661.19577960141</v>
      </c>
      <c r="G25" s="2">
        <v>0.74301472998851925</v>
      </c>
      <c r="H25" s="11">
        <f t="shared" si="1"/>
        <v>45072.162002961246</v>
      </c>
    </row>
    <row r="26" spans="3:8">
      <c r="G26" s="14" t="s">
        <v>193</v>
      </c>
      <c r="H26" s="18">
        <f>SUM(H11:H25)</f>
        <v>779451.68883200886</v>
      </c>
    </row>
    <row r="29" spans="3:8" ht="72.599999999999994">
      <c r="C29" s="35" t="s">
        <v>410</v>
      </c>
      <c r="D29" s="16" t="s">
        <v>375</v>
      </c>
      <c r="E29" s="17" t="s">
        <v>411</v>
      </c>
      <c r="F29" s="17" t="s">
        <v>408</v>
      </c>
      <c r="G29" s="17" t="s">
        <v>299</v>
      </c>
      <c r="H29" s="17" t="s">
        <v>412</v>
      </c>
    </row>
    <row r="30" spans="3:8">
      <c r="C30">
        <v>1</v>
      </c>
      <c r="D30" s="13">
        <v>2026</v>
      </c>
      <c r="E30" s="4">
        <f>'Other Fuel Impact Electric'!G9</f>
        <v>11817.116060961313</v>
      </c>
      <c r="F30" s="11">
        <f>((E30*$G$6)/100)*1000</f>
        <v>90991.793669402105</v>
      </c>
      <c r="G30" s="2">
        <v>0.98039215686274506</v>
      </c>
      <c r="H30" s="11">
        <f>F30*G30</f>
        <v>89207.640852355005</v>
      </c>
    </row>
    <row r="31" spans="3:8">
      <c r="C31">
        <f>C30+1</f>
        <v>2</v>
      </c>
      <c r="D31" s="13">
        <f>D30+1</f>
        <v>2027</v>
      </c>
      <c r="E31" s="4">
        <f>'Other Fuel Impact Electric'!G10</f>
        <v>11817.116060961313</v>
      </c>
      <c r="F31" s="11">
        <f t="shared" ref="F31:F44" si="3">((E31*$G$6)/100)*1000</f>
        <v>90991.793669402105</v>
      </c>
      <c r="G31" s="2">
        <v>0.96116878123798544</v>
      </c>
      <c r="H31" s="11">
        <f t="shared" ref="H31:H44" si="4">F31*G31</f>
        <v>87458.471423877461</v>
      </c>
    </row>
    <row r="32" spans="3:8">
      <c r="C32">
        <f t="shared" ref="C32:D32" si="5">C31+1</f>
        <v>3</v>
      </c>
      <c r="D32" s="13">
        <f t="shared" si="5"/>
        <v>2028</v>
      </c>
      <c r="E32" s="4">
        <f>'Other Fuel Impact Electric'!G11</f>
        <v>11817.116060961313</v>
      </c>
      <c r="F32" s="11">
        <f t="shared" si="3"/>
        <v>90991.793669402105</v>
      </c>
      <c r="G32" s="2">
        <v>0.94232233454704462</v>
      </c>
      <c r="H32" s="11">
        <f t="shared" si="4"/>
        <v>85743.599435173979</v>
      </c>
    </row>
    <row r="33" spans="3:8">
      <c r="C33">
        <f t="shared" ref="C33:D33" si="6">C32+1</f>
        <v>4</v>
      </c>
      <c r="D33" s="13">
        <f t="shared" si="6"/>
        <v>2029</v>
      </c>
      <c r="E33" s="4">
        <f>'Other Fuel Impact Electric'!G12</f>
        <v>11817.116060961313</v>
      </c>
      <c r="F33" s="11">
        <f t="shared" si="3"/>
        <v>90991.793669402105</v>
      </c>
      <c r="G33" s="2">
        <v>0.9238454260265142</v>
      </c>
      <c r="H33" s="11">
        <f t="shared" si="4"/>
        <v>84062.352387425461</v>
      </c>
    </row>
    <row r="34" spans="3:8">
      <c r="C34">
        <f t="shared" ref="C34:D34" si="7">C33+1</f>
        <v>5</v>
      </c>
      <c r="D34" s="13">
        <f t="shared" si="7"/>
        <v>2030</v>
      </c>
      <c r="E34" s="4">
        <f>'Other Fuel Impact Electric'!G13</f>
        <v>11817.116060961313</v>
      </c>
      <c r="F34" s="11">
        <f t="shared" si="3"/>
        <v>90991.793669402105</v>
      </c>
      <c r="G34" s="2">
        <v>0.90573080982991594</v>
      </c>
      <c r="H34" s="11">
        <f t="shared" si="4"/>
        <v>82414.070968064188</v>
      </c>
    </row>
    <row r="35" spans="3:8">
      <c r="C35">
        <f t="shared" ref="C35:D35" si="8">C34+1</f>
        <v>6</v>
      </c>
      <c r="D35" s="13">
        <f t="shared" si="8"/>
        <v>2031</v>
      </c>
      <c r="E35" s="4">
        <f>'Other Fuel Impact Electric'!G14</f>
        <v>11817.116060961313</v>
      </c>
      <c r="F35" s="11">
        <f t="shared" si="3"/>
        <v>90991.793669402105</v>
      </c>
      <c r="G35" s="2">
        <v>0.88797138218619198</v>
      </c>
      <c r="H35" s="11">
        <f t="shared" si="4"/>
        <v>80798.108792219777</v>
      </c>
    </row>
    <row r="36" spans="3:8">
      <c r="C36">
        <f t="shared" ref="C36:D36" si="9">C35+1</f>
        <v>7</v>
      </c>
      <c r="D36" s="13">
        <f t="shared" si="9"/>
        <v>2032</v>
      </c>
      <c r="E36" s="4">
        <f>'Other Fuel Impact Electric'!G15</f>
        <v>11817.116060961313</v>
      </c>
      <c r="F36" s="11">
        <f t="shared" si="3"/>
        <v>90991.793669402105</v>
      </c>
      <c r="G36" s="2">
        <v>0.87056017861391388</v>
      </c>
      <c r="H36" s="11">
        <f t="shared" si="4"/>
        <v>79213.832149235095</v>
      </c>
    </row>
    <row r="37" spans="3:8">
      <c r="C37">
        <f t="shared" ref="C37:D37" si="10">C36+1</f>
        <v>8</v>
      </c>
      <c r="D37" s="13">
        <f t="shared" si="10"/>
        <v>2033</v>
      </c>
      <c r="E37" s="4">
        <f>'Other Fuel Impact Electric'!G16</f>
        <v>11817.116060961313</v>
      </c>
      <c r="F37" s="11">
        <f t="shared" si="3"/>
        <v>90991.793669402105</v>
      </c>
      <c r="G37" s="2">
        <v>0.85349037119011162</v>
      </c>
      <c r="H37" s="11">
        <f t="shared" si="4"/>
        <v>77660.619754152052</v>
      </c>
    </row>
    <row r="38" spans="3:8">
      <c r="C38">
        <f t="shared" ref="C38:D38" si="11">C37+1</f>
        <v>9</v>
      </c>
      <c r="D38" s="13">
        <f t="shared" si="11"/>
        <v>2034</v>
      </c>
      <c r="E38" s="4">
        <f>'Other Fuel Impact Electric'!G17</f>
        <v>11817.116060961313</v>
      </c>
      <c r="F38" s="11">
        <f t="shared" si="3"/>
        <v>90991.793669402105</v>
      </c>
      <c r="G38" s="2">
        <v>0.83675526587265847</v>
      </c>
      <c r="H38" s="11">
        <f t="shared" si="4"/>
        <v>76137.862504070639</v>
      </c>
    </row>
    <row r="39" spans="3:8">
      <c r="C39">
        <f t="shared" ref="C39:D39" si="12">C38+1</f>
        <v>10</v>
      </c>
      <c r="D39" s="13">
        <f t="shared" si="12"/>
        <v>2035</v>
      </c>
      <c r="E39" s="4">
        <f>'Other Fuel Impact Electric'!G18</f>
        <v>11817.116060961313</v>
      </c>
      <c r="F39" s="11">
        <f t="shared" si="3"/>
        <v>90991.793669402105</v>
      </c>
      <c r="G39" s="2">
        <v>0.82034829987515534</v>
      </c>
      <c r="H39" s="11">
        <f t="shared" si="4"/>
        <v>74644.963239284945</v>
      </c>
    </row>
    <row r="40" spans="3:8">
      <c r="C40">
        <f t="shared" ref="C40:D40" si="13">C39+1</f>
        <v>11</v>
      </c>
      <c r="D40" s="13">
        <f t="shared" si="13"/>
        <v>2036</v>
      </c>
      <c r="E40" s="4">
        <f>'Other Fuel Impact Electric'!G19</f>
        <v>11817.116060961313</v>
      </c>
      <c r="F40" s="11">
        <f t="shared" si="3"/>
        <v>90991.793669402105</v>
      </c>
      <c r="G40" s="2">
        <v>0.80426303909328967</v>
      </c>
      <c r="H40" s="11">
        <f t="shared" si="4"/>
        <v>73181.336509102897</v>
      </c>
    </row>
    <row r="41" spans="3:8">
      <c r="C41">
        <f t="shared" ref="C41:D41" si="14">C40+1</f>
        <v>12</v>
      </c>
      <c r="D41" s="13">
        <f t="shared" si="14"/>
        <v>2037</v>
      </c>
      <c r="E41" s="4">
        <f>'Other Fuel Impact Electric'!G20</f>
        <v>11817.116060961313</v>
      </c>
      <c r="F41" s="11">
        <f t="shared" si="3"/>
        <v>90991.793669402105</v>
      </c>
      <c r="G41" s="2">
        <v>0.78849317558165644</v>
      </c>
      <c r="H41" s="11">
        <f t="shared" si="4"/>
        <v>71746.408342257724</v>
      </c>
    </row>
    <row r="42" spans="3:8">
      <c r="C42">
        <f t="shared" ref="C42:D42" si="15">C41+1</f>
        <v>13</v>
      </c>
      <c r="D42" s="13">
        <f t="shared" si="15"/>
        <v>2038</v>
      </c>
      <c r="E42" s="4">
        <f>'Other Fuel Impact Electric'!G21</f>
        <v>11817.116060961313</v>
      </c>
      <c r="F42" s="11">
        <f t="shared" si="3"/>
        <v>90991.793669402105</v>
      </c>
      <c r="G42" s="2">
        <v>0.77303252508005538</v>
      </c>
      <c r="H42" s="11">
        <f t="shared" si="4"/>
        <v>70339.616021821304</v>
      </c>
    </row>
    <row r="43" spans="3:8">
      <c r="C43">
        <f t="shared" ref="C43:D43" si="16">C42+1</f>
        <v>14</v>
      </c>
      <c r="D43" s="13">
        <f t="shared" si="16"/>
        <v>2039</v>
      </c>
      <c r="E43" s="4">
        <f>'Other Fuel Impact Electric'!G22</f>
        <v>11817.116060961313</v>
      </c>
      <c r="F43" s="11">
        <f t="shared" si="3"/>
        <v>90991.793669402105</v>
      </c>
      <c r="G43" s="2">
        <v>0.75787502458828948</v>
      </c>
      <c r="H43" s="11">
        <f t="shared" si="4"/>
        <v>68960.407864530687</v>
      </c>
    </row>
    <row r="44" spans="3:8">
      <c r="C44">
        <f t="shared" ref="C44:D44" si="17">C43+1</f>
        <v>15</v>
      </c>
      <c r="D44" s="13">
        <f t="shared" si="17"/>
        <v>2040</v>
      </c>
      <c r="E44" s="4">
        <f>'Other Fuel Impact Electric'!G23</f>
        <v>11817.116060961313</v>
      </c>
      <c r="F44" s="11">
        <f t="shared" si="3"/>
        <v>90991.793669402105</v>
      </c>
      <c r="G44" s="2">
        <v>0.74301472998851925</v>
      </c>
      <c r="H44" s="11">
        <f t="shared" si="4"/>
        <v>67608.243004441858</v>
      </c>
    </row>
    <row r="45" spans="3:8">
      <c r="G45" s="14" t="s">
        <v>193</v>
      </c>
      <c r="H45" s="18">
        <f>SUM(H30:H44)</f>
        <v>1169177.5332480131</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DA0ED-105B-4DA8-94BC-C1B573642EE5}">
  <sheetPr>
    <tabColor theme="3" tint="0.749992370372631"/>
  </sheetPr>
  <dimension ref="E3:J18"/>
  <sheetViews>
    <sheetView topLeftCell="A2" workbookViewId="0">
      <selection activeCell="C26" sqref="C26"/>
    </sheetView>
  </sheetViews>
  <sheetFormatPr defaultRowHeight="14.45"/>
  <cols>
    <col min="6" max="6" width="9.42578125" bestFit="1" customWidth="1"/>
    <col min="7" max="7" width="10.42578125" bestFit="1" customWidth="1"/>
    <col min="8" max="8" width="13.5703125" customWidth="1"/>
    <col min="9" max="9" width="13.42578125" customWidth="1"/>
  </cols>
  <sheetData>
    <row r="3" spans="5:10" ht="57.95">
      <c r="E3" s="16" t="s">
        <v>375</v>
      </c>
      <c r="F3" s="16" t="s">
        <v>413</v>
      </c>
      <c r="G3" s="16" t="s">
        <v>414</v>
      </c>
      <c r="H3" s="17" t="s">
        <v>415</v>
      </c>
      <c r="I3" s="17" t="s">
        <v>416</v>
      </c>
      <c r="J3" t="s">
        <v>417</v>
      </c>
    </row>
    <row r="4" spans="5:10">
      <c r="E4" s="13">
        <v>2026</v>
      </c>
      <c r="F4" s="4">
        <v>3000</v>
      </c>
      <c r="G4" s="4">
        <v>11750</v>
      </c>
      <c r="H4" s="1">
        <f>F4/G4</f>
        <v>0.25531914893617019</v>
      </c>
      <c r="I4">
        <v>0.44800000000000001</v>
      </c>
      <c r="J4" t="s">
        <v>418</v>
      </c>
    </row>
    <row r="5" spans="5:10">
      <c r="E5" s="13">
        <f>E4+1</f>
        <v>2027</v>
      </c>
      <c r="F5" s="4">
        <v>2750</v>
      </c>
      <c r="G5" s="4">
        <v>11800</v>
      </c>
      <c r="H5" s="1">
        <f t="shared" ref="H5:H18" si="0">F5/G5</f>
        <v>0.23305084745762711</v>
      </c>
      <c r="I5">
        <v>0.35499999999999998</v>
      </c>
      <c r="J5" t="s">
        <v>419</v>
      </c>
    </row>
    <row r="6" spans="5:10">
      <c r="E6" s="13">
        <f t="shared" ref="E6:E18" si="1">E5+1</f>
        <v>2028</v>
      </c>
      <c r="F6" s="4">
        <v>2000</v>
      </c>
      <c r="G6" s="4">
        <v>11800</v>
      </c>
      <c r="H6" s="1">
        <f t="shared" si="0"/>
        <v>0.16949152542372881</v>
      </c>
      <c r="I6">
        <v>0.43099999999999999</v>
      </c>
    </row>
    <row r="7" spans="5:10">
      <c r="E7" s="13">
        <f t="shared" si="1"/>
        <v>2029</v>
      </c>
      <c r="F7" s="4">
        <v>1000</v>
      </c>
      <c r="G7" s="4">
        <v>11750</v>
      </c>
      <c r="H7" s="1">
        <f t="shared" si="0"/>
        <v>8.5106382978723402E-2</v>
      </c>
      <c r="I7">
        <v>0.39300000000000002</v>
      </c>
    </row>
    <row r="8" spans="5:10">
      <c r="E8" s="13">
        <f t="shared" si="1"/>
        <v>2030</v>
      </c>
      <c r="F8" s="4">
        <v>475</v>
      </c>
      <c r="G8" s="4">
        <v>11750</v>
      </c>
      <c r="H8" s="1">
        <f t="shared" si="0"/>
        <v>4.042553191489362E-2</v>
      </c>
      <c r="I8">
        <v>8.5999999999999993E-2</v>
      </c>
    </row>
    <row r="9" spans="5:10">
      <c r="E9" s="13">
        <f t="shared" si="1"/>
        <v>2031</v>
      </c>
      <c r="F9" s="4">
        <v>475</v>
      </c>
      <c r="G9" s="4">
        <v>11800</v>
      </c>
      <c r="H9" s="1">
        <f t="shared" si="0"/>
        <v>4.025423728813559E-2</v>
      </c>
      <c r="I9">
        <v>0.159</v>
      </c>
    </row>
    <row r="10" spans="5:10">
      <c r="E10" s="13">
        <f t="shared" si="1"/>
        <v>2032</v>
      </c>
      <c r="F10" s="4">
        <v>485</v>
      </c>
      <c r="G10" s="4">
        <v>11900</v>
      </c>
      <c r="H10" s="1">
        <f t="shared" si="0"/>
        <v>4.0756302521008404E-2</v>
      </c>
      <c r="I10">
        <v>0.32</v>
      </c>
    </row>
    <row r="11" spans="5:10">
      <c r="E11" s="13">
        <f t="shared" si="1"/>
        <v>2033</v>
      </c>
      <c r="F11" s="4">
        <v>485</v>
      </c>
      <c r="G11" s="4">
        <v>11900</v>
      </c>
      <c r="H11" s="1">
        <f t="shared" si="0"/>
        <v>4.0756302521008404E-2</v>
      </c>
      <c r="I11">
        <v>0.36</v>
      </c>
    </row>
    <row r="12" spans="5:10">
      <c r="E12" s="13">
        <f t="shared" si="1"/>
        <v>2034</v>
      </c>
      <c r="F12" s="4">
        <v>500</v>
      </c>
      <c r="G12" s="4">
        <v>12000</v>
      </c>
      <c r="H12" s="1">
        <f t="shared" si="0"/>
        <v>4.1666666666666664E-2</v>
      </c>
      <c r="I12">
        <v>0.36899999999999999</v>
      </c>
    </row>
    <row r="13" spans="5:10">
      <c r="E13" s="13">
        <f t="shared" si="1"/>
        <v>2035</v>
      </c>
      <c r="F13" s="4">
        <v>250</v>
      </c>
      <c r="G13" s="4">
        <v>12250</v>
      </c>
      <c r="H13" s="1">
        <f t="shared" si="0"/>
        <v>2.0408163265306121E-2</v>
      </c>
      <c r="I13">
        <v>0.26900000000000002</v>
      </c>
    </row>
    <row r="14" spans="5:10">
      <c r="E14" s="13">
        <f t="shared" si="1"/>
        <v>2036</v>
      </c>
      <c r="F14" s="4">
        <v>250</v>
      </c>
      <c r="G14" s="4">
        <v>12500</v>
      </c>
      <c r="H14" s="1">
        <f t="shared" si="0"/>
        <v>0.02</v>
      </c>
      <c r="I14">
        <v>0.35499999999999998</v>
      </c>
    </row>
    <row r="15" spans="5:10">
      <c r="E15" s="13">
        <f t="shared" si="1"/>
        <v>2037</v>
      </c>
      <c r="F15" s="4">
        <v>250</v>
      </c>
      <c r="G15" s="4">
        <v>12750</v>
      </c>
      <c r="H15" s="1">
        <f t="shared" si="0"/>
        <v>1.9607843137254902E-2</v>
      </c>
      <c r="I15">
        <v>0.28799999999999998</v>
      </c>
    </row>
    <row r="16" spans="5:10">
      <c r="E16" s="13">
        <f t="shared" si="1"/>
        <v>2038</v>
      </c>
      <c r="F16" s="4">
        <v>250</v>
      </c>
      <c r="G16" s="4">
        <v>13000</v>
      </c>
      <c r="H16" s="1">
        <f t="shared" si="0"/>
        <v>1.9230769230769232E-2</v>
      </c>
      <c r="I16">
        <v>0.23899999999999999</v>
      </c>
    </row>
    <row r="17" spans="5:9">
      <c r="E17" s="13">
        <f t="shared" si="1"/>
        <v>2039</v>
      </c>
      <c r="F17" s="4">
        <v>250</v>
      </c>
      <c r="G17" s="4">
        <v>13250</v>
      </c>
      <c r="H17" s="1">
        <f t="shared" si="0"/>
        <v>1.8867924528301886E-2</v>
      </c>
      <c r="I17">
        <v>0.218</v>
      </c>
    </row>
    <row r="18" spans="5:9">
      <c r="E18" s="13">
        <f t="shared" si="1"/>
        <v>2040</v>
      </c>
      <c r="F18" s="4">
        <v>250</v>
      </c>
      <c r="G18" s="4">
        <v>13500</v>
      </c>
      <c r="H18" s="1">
        <f t="shared" si="0"/>
        <v>1.8518518518518517E-2</v>
      </c>
      <c r="I18">
        <v>0.221</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DCEC8-9BF8-47FA-A096-02010B83568E}">
  <sheetPr>
    <tabColor theme="6" tint="0.59999389629810485"/>
  </sheetPr>
  <dimension ref="B2:K23"/>
  <sheetViews>
    <sheetView zoomScale="90" zoomScaleNormal="90" workbookViewId="0">
      <selection activeCell="N17" sqref="N17"/>
    </sheetView>
  </sheetViews>
  <sheetFormatPr defaultRowHeight="14.45"/>
  <cols>
    <col min="4" max="4" width="13.5703125" customWidth="1"/>
    <col min="11" max="11" width="53.85546875" customWidth="1"/>
  </cols>
  <sheetData>
    <row r="2" spans="2:11">
      <c r="C2" t="s">
        <v>420</v>
      </c>
    </row>
    <row r="3" spans="2:11" ht="29.45" customHeight="1">
      <c r="B3" s="67" t="s">
        <v>421</v>
      </c>
      <c r="C3" s="215" t="s">
        <v>422</v>
      </c>
      <c r="D3" s="215"/>
      <c r="E3" s="69" t="s">
        <v>423</v>
      </c>
      <c r="F3" s="69" t="s">
        <v>424</v>
      </c>
      <c r="G3" s="69" t="s">
        <v>425</v>
      </c>
      <c r="H3" s="69" t="s">
        <v>426</v>
      </c>
      <c r="I3" s="69" t="s">
        <v>427</v>
      </c>
      <c r="J3" s="69" t="s">
        <v>428</v>
      </c>
      <c r="K3" s="68" t="s">
        <v>429</v>
      </c>
    </row>
    <row r="4" spans="2:11" ht="31.35" customHeight="1">
      <c r="B4" s="70" t="s">
        <v>430</v>
      </c>
      <c r="C4" s="71" t="s">
        <v>431</v>
      </c>
      <c r="D4" s="71"/>
      <c r="E4" s="72" t="s">
        <v>432</v>
      </c>
      <c r="F4" s="72" t="s">
        <v>432</v>
      </c>
      <c r="G4" s="72" t="s">
        <v>432</v>
      </c>
      <c r="H4" s="72" t="s">
        <v>432</v>
      </c>
      <c r="I4" s="72" t="s">
        <v>432</v>
      </c>
      <c r="J4" s="72" t="s">
        <v>432</v>
      </c>
      <c r="K4" s="73" t="s">
        <v>433</v>
      </c>
    </row>
    <row r="5" spans="2:11" ht="18.600000000000001">
      <c r="B5" s="70" t="s">
        <v>430</v>
      </c>
      <c r="C5" s="71" t="s">
        <v>434</v>
      </c>
      <c r="D5" s="71"/>
      <c r="E5" s="74" t="s">
        <v>51</v>
      </c>
      <c r="F5" s="74" t="s">
        <v>51</v>
      </c>
      <c r="G5" s="72" t="s">
        <v>432</v>
      </c>
      <c r="H5" s="72" t="s">
        <v>432</v>
      </c>
      <c r="I5" s="74" t="s">
        <v>51</v>
      </c>
      <c r="J5" s="74" t="s">
        <v>51</v>
      </c>
      <c r="K5" s="73" t="s">
        <v>435</v>
      </c>
    </row>
    <row r="6" spans="2:11" ht="24" customHeight="1">
      <c r="B6" s="70" t="s">
        <v>436</v>
      </c>
      <c r="C6" s="71" t="s">
        <v>437</v>
      </c>
      <c r="D6" s="71"/>
      <c r="E6" s="75" t="s">
        <v>430</v>
      </c>
      <c r="F6" s="75" t="s">
        <v>430</v>
      </c>
      <c r="G6" s="75" t="s">
        <v>430</v>
      </c>
      <c r="H6" s="75" t="s">
        <v>430</v>
      </c>
      <c r="I6" s="75" t="s">
        <v>430</v>
      </c>
      <c r="J6" s="75" t="s">
        <v>430</v>
      </c>
      <c r="K6" s="73" t="s">
        <v>438</v>
      </c>
    </row>
    <row r="7" spans="2:11" ht="27.6" customHeight="1">
      <c r="B7" s="70" t="s">
        <v>436</v>
      </c>
      <c r="C7" s="213" t="s">
        <v>439</v>
      </c>
      <c r="D7" s="214"/>
      <c r="E7" s="72" t="s">
        <v>432</v>
      </c>
      <c r="F7" s="74" t="s">
        <v>51</v>
      </c>
      <c r="G7" s="74" t="s">
        <v>51</v>
      </c>
      <c r="H7" s="74" t="s">
        <v>51</v>
      </c>
      <c r="I7" s="74" t="s">
        <v>51</v>
      </c>
      <c r="J7" s="74" t="s">
        <v>51</v>
      </c>
      <c r="K7" s="73" t="s">
        <v>440</v>
      </c>
    </row>
    <row r="8" spans="2:11" ht="33" customHeight="1">
      <c r="B8" s="76"/>
      <c r="C8" s="216" t="s">
        <v>441</v>
      </c>
      <c r="D8" s="217"/>
      <c r="E8" s="77" t="s">
        <v>423</v>
      </c>
      <c r="F8" s="77" t="s">
        <v>424</v>
      </c>
      <c r="G8" s="77" t="s">
        <v>425</v>
      </c>
      <c r="H8" s="77" t="s">
        <v>426</v>
      </c>
      <c r="I8" s="77" t="s">
        <v>427</v>
      </c>
      <c r="J8" s="77" t="s">
        <v>428</v>
      </c>
      <c r="K8" s="78"/>
    </row>
    <row r="9" spans="2:11" ht="18.600000000000001">
      <c r="B9" s="70" t="s">
        <v>430</v>
      </c>
      <c r="C9" s="71" t="s">
        <v>442</v>
      </c>
      <c r="D9" s="71"/>
      <c r="E9" s="72" t="s">
        <v>432</v>
      </c>
      <c r="F9" s="72" t="s">
        <v>432</v>
      </c>
      <c r="G9" s="72" t="s">
        <v>432</v>
      </c>
      <c r="H9" s="72" t="s">
        <v>432</v>
      </c>
      <c r="I9" s="72" t="s">
        <v>432</v>
      </c>
      <c r="J9" s="72" t="s">
        <v>432</v>
      </c>
      <c r="K9" s="73" t="s">
        <v>443</v>
      </c>
    </row>
    <row r="10" spans="2:11" ht="22.35" customHeight="1">
      <c r="B10" s="70" t="s">
        <v>436</v>
      </c>
      <c r="C10" s="213" t="s">
        <v>75</v>
      </c>
      <c r="D10" s="214"/>
      <c r="E10" s="72" t="s">
        <v>432</v>
      </c>
      <c r="F10" s="74" t="s">
        <v>51</v>
      </c>
      <c r="G10" s="72" t="s">
        <v>432</v>
      </c>
      <c r="H10" s="72" t="s">
        <v>432</v>
      </c>
      <c r="I10" s="72" t="s">
        <v>432</v>
      </c>
      <c r="J10" s="72" t="s">
        <v>432</v>
      </c>
      <c r="K10" s="73" t="s">
        <v>444</v>
      </c>
    </row>
    <row r="11" spans="2:11" ht="22.35" customHeight="1">
      <c r="B11" s="74" t="s">
        <v>51</v>
      </c>
      <c r="C11" s="213" t="s">
        <v>445</v>
      </c>
      <c r="D11" s="214"/>
      <c r="E11" s="74" t="s">
        <v>51</v>
      </c>
      <c r="F11" s="74" t="s">
        <v>51</v>
      </c>
      <c r="G11" s="74" t="s">
        <v>51</v>
      </c>
      <c r="H11" s="74" t="s">
        <v>51</v>
      </c>
      <c r="I11" s="74" t="s">
        <v>51</v>
      </c>
      <c r="J11" s="74" t="s">
        <v>51</v>
      </c>
      <c r="K11" s="73" t="s">
        <v>446</v>
      </c>
    </row>
    <row r="12" spans="2:11" ht="21" customHeight="1">
      <c r="B12" s="70" t="s">
        <v>436</v>
      </c>
      <c r="C12" s="213" t="s">
        <v>77</v>
      </c>
      <c r="D12" s="214"/>
      <c r="E12" s="72" t="s">
        <v>432</v>
      </c>
      <c r="F12" s="74" t="s">
        <v>51</v>
      </c>
      <c r="G12" s="72" t="s">
        <v>432</v>
      </c>
      <c r="H12" s="72" t="s">
        <v>432</v>
      </c>
      <c r="I12" s="74" t="s">
        <v>51</v>
      </c>
      <c r="J12" s="72" t="s">
        <v>432</v>
      </c>
      <c r="K12" s="73" t="s">
        <v>447</v>
      </c>
    </row>
    <row r="14" spans="2:11" ht="35.450000000000003" customHeight="1">
      <c r="B14" s="79" t="s">
        <v>421</v>
      </c>
      <c r="C14" s="216" t="s">
        <v>448</v>
      </c>
      <c r="D14" s="217"/>
      <c r="E14" s="77" t="s">
        <v>423</v>
      </c>
      <c r="F14" s="77" t="s">
        <v>424</v>
      </c>
      <c r="G14" s="77" t="s">
        <v>425</v>
      </c>
      <c r="H14" s="77" t="s">
        <v>426</v>
      </c>
      <c r="I14" s="77" t="s">
        <v>427</v>
      </c>
      <c r="J14" s="77" t="s">
        <v>428</v>
      </c>
      <c r="K14" s="78"/>
    </row>
    <row r="15" spans="2:11" ht="18.600000000000001">
      <c r="B15" s="70" t="s">
        <v>436</v>
      </c>
      <c r="C15" s="218" t="s">
        <v>449</v>
      </c>
      <c r="D15" s="218"/>
      <c r="E15" s="72" t="s">
        <v>432</v>
      </c>
      <c r="F15" s="74" t="s">
        <v>51</v>
      </c>
      <c r="G15" s="72" t="s">
        <v>432</v>
      </c>
      <c r="H15" s="72" t="s">
        <v>432</v>
      </c>
      <c r="I15" s="72" t="s">
        <v>432</v>
      </c>
      <c r="J15" s="72" t="s">
        <v>432</v>
      </c>
      <c r="K15" s="73" t="s">
        <v>450</v>
      </c>
    </row>
    <row r="16" spans="2:11" ht="18.600000000000001">
      <c r="B16" s="80" t="s">
        <v>421</v>
      </c>
      <c r="C16" s="218" t="s">
        <v>451</v>
      </c>
      <c r="D16" s="218"/>
      <c r="E16" s="72" t="s">
        <v>432</v>
      </c>
      <c r="F16" s="74" t="s">
        <v>51</v>
      </c>
      <c r="G16" s="72" t="s">
        <v>432</v>
      </c>
      <c r="H16" s="74" t="s">
        <v>51</v>
      </c>
      <c r="I16" s="72" t="s">
        <v>432</v>
      </c>
      <c r="J16" s="72" t="s">
        <v>432</v>
      </c>
      <c r="K16" s="73" t="s">
        <v>452</v>
      </c>
    </row>
    <row r="17" spans="2:11" ht="24.6" customHeight="1">
      <c r="B17" s="70" t="s">
        <v>436</v>
      </c>
      <c r="C17" s="218" t="s">
        <v>453</v>
      </c>
      <c r="D17" s="218"/>
      <c r="E17" s="72" t="s">
        <v>432</v>
      </c>
      <c r="F17" s="74" t="s">
        <v>51</v>
      </c>
      <c r="G17" s="74" t="s">
        <v>51</v>
      </c>
      <c r="H17" s="74" t="s">
        <v>51</v>
      </c>
      <c r="I17" s="74" t="s">
        <v>51</v>
      </c>
      <c r="J17" s="74" t="s">
        <v>51</v>
      </c>
      <c r="K17" s="73" t="s">
        <v>454</v>
      </c>
    </row>
    <row r="18" spans="2:11" ht="28.35" customHeight="1">
      <c r="B18" s="70" t="s">
        <v>436</v>
      </c>
      <c r="C18" s="219" t="s">
        <v>455</v>
      </c>
      <c r="D18" s="219"/>
      <c r="E18" s="72" t="s">
        <v>432</v>
      </c>
      <c r="F18" s="74" t="s">
        <v>64</v>
      </c>
      <c r="G18" s="72" t="s">
        <v>432</v>
      </c>
      <c r="H18" s="72" t="s">
        <v>432</v>
      </c>
      <c r="I18" s="72" t="s">
        <v>432</v>
      </c>
      <c r="J18" s="72" t="s">
        <v>432</v>
      </c>
      <c r="K18" s="73" t="s">
        <v>456</v>
      </c>
    </row>
    <row r="19" spans="2:11" ht="18.600000000000001">
      <c r="B19" s="80" t="s">
        <v>421</v>
      </c>
      <c r="C19" s="218" t="s">
        <v>457</v>
      </c>
      <c r="D19" s="218"/>
      <c r="E19" s="72" t="s">
        <v>432</v>
      </c>
      <c r="F19" s="72" t="s">
        <v>432</v>
      </c>
      <c r="G19" s="74" t="s">
        <v>51</v>
      </c>
      <c r="H19" s="74" t="s">
        <v>51</v>
      </c>
      <c r="I19" s="72" t="s">
        <v>432</v>
      </c>
      <c r="J19" s="74" t="s">
        <v>51</v>
      </c>
      <c r="K19" s="73" t="s">
        <v>458</v>
      </c>
    </row>
    <row r="20" spans="2:11" ht="32.1" customHeight="1">
      <c r="B20" s="80" t="s">
        <v>421</v>
      </c>
      <c r="C20" s="218" t="s">
        <v>459</v>
      </c>
      <c r="D20" s="218"/>
      <c r="E20" s="72" t="s">
        <v>432</v>
      </c>
      <c r="F20" s="72" t="s">
        <v>432</v>
      </c>
      <c r="G20" s="74" t="s">
        <v>51</v>
      </c>
      <c r="H20" s="72" t="s">
        <v>432</v>
      </c>
      <c r="I20" s="72" t="s">
        <v>432</v>
      </c>
      <c r="J20" s="72" t="s">
        <v>432</v>
      </c>
      <c r="K20" s="73" t="s">
        <v>460</v>
      </c>
    </row>
    <row r="21" spans="2:11" ht="27.6" customHeight="1">
      <c r="B21" s="70" t="s">
        <v>436</v>
      </c>
      <c r="C21" s="218" t="s">
        <v>461</v>
      </c>
      <c r="D21" s="218"/>
      <c r="E21" s="72" t="s">
        <v>432</v>
      </c>
      <c r="F21" s="74" t="s">
        <v>51</v>
      </c>
      <c r="G21" s="74" t="s">
        <v>51</v>
      </c>
      <c r="H21" s="72" t="s">
        <v>432</v>
      </c>
      <c r="I21" s="72" t="s">
        <v>432</v>
      </c>
      <c r="J21" s="74" t="s">
        <v>51</v>
      </c>
      <c r="K21" s="73" t="s">
        <v>462</v>
      </c>
    </row>
    <row r="22" spans="2:11" ht="24.6" customHeight="1">
      <c r="B22" s="70" t="s">
        <v>436</v>
      </c>
      <c r="C22" s="218" t="s">
        <v>463</v>
      </c>
      <c r="D22" s="218"/>
      <c r="E22" s="72" t="s">
        <v>432</v>
      </c>
      <c r="F22" s="74" t="s">
        <v>51</v>
      </c>
      <c r="G22" s="72" t="s">
        <v>432</v>
      </c>
      <c r="H22" s="72" t="s">
        <v>432</v>
      </c>
      <c r="I22" s="72" t="s">
        <v>432</v>
      </c>
      <c r="J22" s="72" t="s">
        <v>432</v>
      </c>
      <c r="K22" s="73" t="s">
        <v>464</v>
      </c>
    </row>
    <row r="23" spans="2:11" ht="21" customHeight="1">
      <c r="B23" s="70" t="s">
        <v>436</v>
      </c>
      <c r="C23" s="218" t="s">
        <v>465</v>
      </c>
      <c r="D23" s="218"/>
      <c r="E23" s="72" t="s">
        <v>432</v>
      </c>
      <c r="F23" s="74" t="s">
        <v>64</v>
      </c>
      <c r="G23" s="72" t="s">
        <v>432</v>
      </c>
      <c r="H23" s="74" t="s">
        <v>64</v>
      </c>
      <c r="I23" s="72" t="s">
        <v>432</v>
      </c>
      <c r="J23" s="72" t="s">
        <v>432</v>
      </c>
      <c r="K23" s="73" t="s">
        <v>466</v>
      </c>
    </row>
  </sheetData>
  <mergeCells count="16">
    <mergeCell ref="C20:D20"/>
    <mergeCell ref="C21:D21"/>
    <mergeCell ref="C22:D22"/>
    <mergeCell ref="C23:D23"/>
    <mergeCell ref="C14:D14"/>
    <mergeCell ref="C15:D15"/>
    <mergeCell ref="C16:D16"/>
    <mergeCell ref="C17:D17"/>
    <mergeCell ref="C18:D18"/>
    <mergeCell ref="C19:D19"/>
    <mergeCell ref="C12:D12"/>
    <mergeCell ref="C3:D3"/>
    <mergeCell ref="C7:D7"/>
    <mergeCell ref="C8:D8"/>
    <mergeCell ref="C10:D10"/>
    <mergeCell ref="C11:D1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DED50-FF84-47AD-9133-F4E1109C5506}">
  <sheetPr>
    <tabColor theme="6" tint="0.59999389629810485"/>
  </sheetPr>
  <dimension ref="B2:F12"/>
  <sheetViews>
    <sheetView workbookViewId="0">
      <selection activeCell="L11" sqref="L11"/>
    </sheetView>
  </sheetViews>
  <sheetFormatPr defaultRowHeight="14.45"/>
  <cols>
    <col min="3" max="3" width="18.140625" customWidth="1"/>
    <col min="4" max="4" width="18.5703125" customWidth="1"/>
    <col min="5" max="5" width="15.42578125" customWidth="1"/>
    <col min="6" max="6" width="34.5703125" customWidth="1"/>
  </cols>
  <sheetData>
    <row r="2" spans="2:6">
      <c r="B2" s="14" t="s">
        <v>467</v>
      </c>
    </row>
    <row r="3" spans="2:6" ht="47.1" customHeight="1">
      <c r="B3" s="215" t="s">
        <v>468</v>
      </c>
      <c r="C3" s="215"/>
      <c r="D3" s="81" t="s">
        <v>469</v>
      </c>
      <c r="E3" s="81" t="s">
        <v>470</v>
      </c>
      <c r="F3" s="81" t="s">
        <v>429</v>
      </c>
    </row>
    <row r="4" spans="2:6" ht="48" customHeight="1">
      <c r="B4" s="220" t="s">
        <v>471</v>
      </c>
      <c r="C4" s="221"/>
      <c r="D4" s="82">
        <v>0.2</v>
      </c>
      <c r="E4" s="83">
        <v>0.4</v>
      </c>
      <c r="F4" s="73" t="s">
        <v>472</v>
      </c>
    </row>
    <row r="5" spans="2:6" ht="48" customHeight="1">
      <c r="B5" s="220" t="s">
        <v>473</v>
      </c>
      <c r="C5" s="221"/>
      <c r="D5" s="82">
        <v>0.2</v>
      </c>
      <c r="E5" s="83">
        <v>0.4</v>
      </c>
      <c r="F5" s="73" t="s">
        <v>474</v>
      </c>
    </row>
    <row r="6" spans="2:6" ht="33" customHeight="1">
      <c r="B6" s="220" t="s">
        <v>475</v>
      </c>
      <c r="C6" s="221"/>
      <c r="D6" s="83">
        <v>0.1</v>
      </c>
      <c r="E6" s="83">
        <v>0.2</v>
      </c>
      <c r="F6" s="73" t="s">
        <v>476</v>
      </c>
    </row>
    <row r="7" spans="2:6" ht="47.45" customHeight="1">
      <c r="B7" s="220" t="s">
        <v>477</v>
      </c>
      <c r="C7" s="221"/>
      <c r="D7" s="82" t="s">
        <v>64</v>
      </c>
      <c r="E7" s="84" t="s">
        <v>64</v>
      </c>
      <c r="F7" s="73" t="s">
        <v>478</v>
      </c>
    </row>
    <row r="8" spans="2:6" ht="39" customHeight="1">
      <c r="B8" s="220" t="s">
        <v>479</v>
      </c>
      <c r="C8" s="221"/>
      <c r="D8" s="83">
        <v>0.05</v>
      </c>
      <c r="E8" s="83">
        <v>0.1</v>
      </c>
      <c r="F8" s="73" t="s">
        <v>480</v>
      </c>
    </row>
    <row r="9" spans="2:6" ht="35.450000000000003" customHeight="1">
      <c r="B9" s="220" t="s">
        <v>481</v>
      </c>
      <c r="C9" s="221"/>
      <c r="D9" s="83">
        <v>0.1</v>
      </c>
      <c r="E9" s="83">
        <v>0.2</v>
      </c>
      <c r="F9" s="73" t="s">
        <v>482</v>
      </c>
    </row>
    <row r="10" spans="2:6" ht="35.450000000000003" customHeight="1">
      <c r="B10" s="220" t="s">
        <v>483</v>
      </c>
      <c r="C10" s="221"/>
      <c r="D10" s="83">
        <v>0.15</v>
      </c>
      <c r="E10" s="83">
        <v>0.3</v>
      </c>
      <c r="F10" s="73" t="s">
        <v>484</v>
      </c>
    </row>
    <row r="11" spans="2:6" ht="36" customHeight="1">
      <c r="B11" s="220" t="s">
        <v>485</v>
      </c>
      <c r="C11" s="221"/>
      <c r="D11" s="83">
        <v>0.1</v>
      </c>
      <c r="E11" s="83">
        <v>0.2</v>
      </c>
      <c r="F11" s="73" t="s">
        <v>486</v>
      </c>
    </row>
    <row r="12" spans="2:6" ht="36" customHeight="1">
      <c r="B12" s="220" t="s">
        <v>487</v>
      </c>
      <c r="C12" s="221"/>
      <c r="D12" s="83">
        <v>0</v>
      </c>
      <c r="E12" s="83">
        <v>0</v>
      </c>
      <c r="F12" s="73" t="s">
        <v>488</v>
      </c>
    </row>
  </sheetData>
  <mergeCells count="10">
    <mergeCell ref="B9:C9"/>
    <mergeCell ref="B10:C10"/>
    <mergeCell ref="B11:C11"/>
    <mergeCell ref="B12:C12"/>
    <mergeCell ref="B3:C3"/>
    <mergeCell ref="B4:C4"/>
    <mergeCell ref="B5:C5"/>
    <mergeCell ref="B6:C6"/>
    <mergeCell ref="B7:C7"/>
    <mergeCell ref="B8:C8"/>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76D83-3A67-4F18-BFCF-75ACCBC197C7}">
  <sheetPr>
    <tabColor theme="6" tint="0.59999389629810485"/>
  </sheetPr>
  <dimension ref="C1:J14"/>
  <sheetViews>
    <sheetView zoomScale="82" zoomScaleNormal="82" workbookViewId="0">
      <selection activeCell="F29" sqref="F29"/>
    </sheetView>
  </sheetViews>
  <sheetFormatPr defaultRowHeight="14.45"/>
  <cols>
    <col min="3" max="3" width="13.42578125" customWidth="1"/>
    <col min="4" max="4" width="19.5703125" style="105" customWidth="1"/>
    <col min="5" max="5" width="21" style="105" customWidth="1"/>
    <col min="6" max="6" width="19.42578125" style="105" customWidth="1"/>
    <col min="7" max="7" width="26.42578125" style="105" customWidth="1"/>
    <col min="8" max="8" width="56.42578125" style="105" hidden="1" customWidth="1"/>
    <col min="9" max="9" width="46.5703125" style="105" customWidth="1"/>
    <col min="10" max="10" width="22" customWidth="1"/>
  </cols>
  <sheetData>
    <row r="1" spans="3:10">
      <c r="C1" s="14" t="s">
        <v>489</v>
      </c>
    </row>
    <row r="3" spans="3:10" ht="29.1">
      <c r="C3" s="91" t="s">
        <v>490</v>
      </c>
      <c r="D3" s="91" t="s">
        <v>491</v>
      </c>
      <c r="E3" s="91" t="s">
        <v>492</v>
      </c>
      <c r="F3" s="91" t="s">
        <v>493</v>
      </c>
      <c r="G3" s="91" t="s">
        <v>494</v>
      </c>
      <c r="H3" s="91" t="s">
        <v>495</v>
      </c>
      <c r="I3" s="91" t="s">
        <v>496</v>
      </c>
    </row>
    <row r="4" spans="3:10" ht="43.5">
      <c r="C4" s="40" t="s">
        <v>497</v>
      </c>
      <c r="D4" s="92" t="s">
        <v>498</v>
      </c>
      <c r="E4" s="92" t="s">
        <v>499</v>
      </c>
      <c r="F4" s="92" t="s">
        <v>500</v>
      </c>
      <c r="G4" s="92" t="s">
        <v>501</v>
      </c>
      <c r="H4" s="92" t="s">
        <v>502</v>
      </c>
      <c r="I4" s="92" t="s">
        <v>503</v>
      </c>
    </row>
    <row r="5" spans="3:10" ht="46.35" hidden="1" customHeight="1">
      <c r="C5" s="40" t="s">
        <v>504</v>
      </c>
      <c r="D5" s="92" t="s">
        <v>505</v>
      </c>
      <c r="E5" s="92" t="s">
        <v>499</v>
      </c>
      <c r="F5" s="92" t="s">
        <v>505</v>
      </c>
      <c r="G5" s="92" t="s">
        <v>506</v>
      </c>
      <c r="H5" s="92" t="s">
        <v>507</v>
      </c>
      <c r="I5" s="92" t="s">
        <v>508</v>
      </c>
    </row>
    <row r="6" spans="3:10" ht="43.5">
      <c r="C6" s="40" t="s">
        <v>509</v>
      </c>
      <c r="D6" s="92" t="s">
        <v>505</v>
      </c>
      <c r="E6" s="92" t="s">
        <v>510</v>
      </c>
      <c r="F6" s="92" t="s">
        <v>505</v>
      </c>
      <c r="G6" s="92" t="s">
        <v>511</v>
      </c>
      <c r="H6" s="92" t="s">
        <v>512</v>
      </c>
      <c r="I6" s="93" t="s">
        <v>513</v>
      </c>
    </row>
    <row r="7" spans="3:10" ht="57.95">
      <c r="C7" s="40" t="s">
        <v>514</v>
      </c>
      <c r="D7" s="92" t="s">
        <v>505</v>
      </c>
      <c r="E7" s="92" t="s">
        <v>515</v>
      </c>
      <c r="F7" s="92" t="s">
        <v>505</v>
      </c>
      <c r="G7" s="92" t="s">
        <v>516</v>
      </c>
      <c r="H7" s="92"/>
      <c r="I7" s="94" t="s">
        <v>517</v>
      </c>
      <c r="J7" s="95"/>
    </row>
    <row r="8" spans="3:10" ht="43.5">
      <c r="C8" s="40" t="s">
        <v>518</v>
      </c>
      <c r="D8" s="92" t="s">
        <v>505</v>
      </c>
      <c r="E8" s="92" t="s">
        <v>499</v>
      </c>
      <c r="F8" s="92" t="s">
        <v>505</v>
      </c>
      <c r="G8" s="92" t="s">
        <v>519</v>
      </c>
      <c r="H8" s="92" t="s">
        <v>520</v>
      </c>
      <c r="I8" s="96" t="s">
        <v>521</v>
      </c>
    </row>
    <row r="9" spans="3:10" ht="72.599999999999994" customHeight="1">
      <c r="C9" s="40" t="s">
        <v>522</v>
      </c>
      <c r="D9" s="92" t="s">
        <v>523</v>
      </c>
      <c r="E9" s="92" t="s">
        <v>524</v>
      </c>
      <c r="F9" s="92" t="s">
        <v>524</v>
      </c>
      <c r="G9" s="92" t="s">
        <v>524</v>
      </c>
      <c r="H9" s="92" t="s">
        <v>525</v>
      </c>
      <c r="I9" s="97" t="s">
        <v>526</v>
      </c>
      <c r="J9" s="35"/>
    </row>
    <row r="10" spans="3:10" ht="43.5" hidden="1">
      <c r="C10" s="40" t="s">
        <v>527</v>
      </c>
      <c r="D10" s="98"/>
      <c r="E10" s="98"/>
      <c r="F10" s="98"/>
      <c r="G10" s="98"/>
      <c r="H10" s="99" t="s">
        <v>528</v>
      </c>
      <c r="I10" s="94" t="s">
        <v>529</v>
      </c>
    </row>
    <row r="11" spans="3:10" ht="101.45">
      <c r="C11" s="40" t="s">
        <v>530</v>
      </c>
      <c r="D11" s="92" t="s">
        <v>505</v>
      </c>
      <c r="E11" s="92" t="s">
        <v>531</v>
      </c>
      <c r="F11" s="92" t="s">
        <v>505</v>
      </c>
      <c r="G11" s="92" t="s">
        <v>506</v>
      </c>
      <c r="H11" s="92" t="s">
        <v>532</v>
      </c>
      <c r="I11" s="96" t="s">
        <v>533</v>
      </c>
    </row>
    <row r="12" spans="3:10" ht="57.95">
      <c r="C12" s="40" t="s">
        <v>534</v>
      </c>
      <c r="D12" s="92" t="s">
        <v>505</v>
      </c>
      <c r="E12" s="92" t="s">
        <v>510</v>
      </c>
      <c r="F12" s="92" t="s">
        <v>535</v>
      </c>
      <c r="G12" s="92" t="s">
        <v>506</v>
      </c>
      <c r="H12" s="92"/>
      <c r="I12" s="96" t="s">
        <v>536</v>
      </c>
    </row>
    <row r="13" spans="3:10" ht="43.5">
      <c r="C13" s="40" t="s">
        <v>537</v>
      </c>
      <c r="D13" s="92" t="s">
        <v>505</v>
      </c>
      <c r="E13" s="92" t="s">
        <v>499</v>
      </c>
      <c r="F13" s="92" t="s">
        <v>538</v>
      </c>
      <c r="G13" s="92" t="s">
        <v>506</v>
      </c>
      <c r="H13" s="92" t="s">
        <v>539</v>
      </c>
      <c r="I13" s="96" t="s">
        <v>540</v>
      </c>
    </row>
    <row r="14" spans="3:10" ht="43.5" hidden="1">
      <c r="C14" s="100" t="s">
        <v>541</v>
      </c>
      <c r="D14" s="101" t="s">
        <v>542</v>
      </c>
      <c r="E14" s="102"/>
      <c r="F14" s="103"/>
      <c r="G14" s="103"/>
      <c r="H14" s="104" t="s">
        <v>543</v>
      </c>
      <c r="I14" s="104" t="s">
        <v>544</v>
      </c>
    </row>
  </sheetData>
  <hyperlinks>
    <hyperlink ref="I9" r:id="rId1" xr:uid="{92448A82-8667-4CFF-9871-05ADDC421118}"/>
    <hyperlink ref="I13" r:id="rId2" xr:uid="{6EE0F55D-EC05-4D18-A4D4-957F16D95DBD}"/>
    <hyperlink ref="I11" r:id="rId3" xr:uid="{5E0E2B4B-269E-4036-BEF1-7D4401413BA4}"/>
    <hyperlink ref="I8" r:id="rId4" xr:uid="{8DB9CDB8-C130-42FA-B5D2-7CE29C0947C1}"/>
  </hyperlinks>
  <pageMargins left="0.7" right="0.7" top="0.75" bottom="0.75" header="0.3" footer="0.3"/>
  <pageSetup orientation="portrait"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3D497-4921-4D92-AEF4-476428098E05}">
  <sheetPr>
    <tabColor theme="6" tint="0.59999389629810485"/>
  </sheetPr>
  <dimension ref="C3:G16"/>
  <sheetViews>
    <sheetView workbookViewId="0">
      <selection activeCell="H36" sqref="H36"/>
    </sheetView>
  </sheetViews>
  <sheetFormatPr defaultRowHeight="14.45"/>
  <cols>
    <col min="3" max="3" width="36.42578125" customWidth="1"/>
    <col min="4" max="4" width="10.42578125" bestFit="1" customWidth="1"/>
    <col min="7" max="7" width="32.5703125" style="35" customWidth="1"/>
    <col min="8" max="8" width="23.42578125" customWidth="1"/>
  </cols>
  <sheetData>
    <row r="3" spans="3:6">
      <c r="C3" s="14" t="s">
        <v>217</v>
      </c>
      <c r="D3">
        <v>80</v>
      </c>
      <c r="E3" t="s">
        <v>218</v>
      </c>
    </row>
    <row r="4" spans="3:6">
      <c r="C4" s="14" t="s">
        <v>220</v>
      </c>
      <c r="D4">
        <v>0.84</v>
      </c>
    </row>
    <row r="5" spans="3:6">
      <c r="C5" s="14" t="s">
        <v>221</v>
      </c>
      <c r="D5" s="3">
        <f>(D3*10^6)/138500</f>
        <v>577.61732851985562</v>
      </c>
      <c r="E5" t="s">
        <v>222</v>
      </c>
    </row>
    <row r="6" spans="3:6">
      <c r="C6" s="14" t="s">
        <v>224</v>
      </c>
      <c r="D6">
        <v>22.54</v>
      </c>
      <c r="E6" t="s">
        <v>225</v>
      </c>
      <c r="F6" t="s">
        <v>226</v>
      </c>
    </row>
    <row r="7" spans="3:6">
      <c r="C7" s="14" t="s">
        <v>227</v>
      </c>
      <c r="D7" s="2">
        <f>(D5*D6)/2204</f>
        <v>5.9072116991095935</v>
      </c>
      <c r="E7" t="s">
        <v>228</v>
      </c>
    </row>
    <row r="8" spans="3:6">
      <c r="C8" s="14"/>
      <c r="D8" s="2"/>
    </row>
    <row r="9" spans="3:6">
      <c r="C9" s="14" t="s">
        <v>256</v>
      </c>
      <c r="D9">
        <f>D3*D4</f>
        <v>67.2</v>
      </c>
      <c r="E9" t="s">
        <v>218</v>
      </c>
    </row>
    <row r="10" spans="3:6">
      <c r="C10" s="14" t="s">
        <v>257</v>
      </c>
      <c r="D10" s="4">
        <f>(D9*10^6)/3412</f>
        <v>19695.193434935522</v>
      </c>
    </row>
    <row r="11" spans="3:6">
      <c r="C11" s="14" t="s">
        <v>258</v>
      </c>
      <c r="D11">
        <v>2.5</v>
      </c>
    </row>
    <row r="12" spans="3:6">
      <c r="C12" s="14" t="s">
        <v>259</v>
      </c>
      <c r="D12" s="5">
        <f>D10/D11</f>
        <v>7878.077373974209</v>
      </c>
      <c r="E12" t="s">
        <v>246</v>
      </c>
    </row>
    <row r="13" spans="3:6" ht="13.35" customHeight="1">
      <c r="C13" s="14" t="s">
        <v>545</v>
      </c>
      <c r="D13" s="5">
        <f>D12*(1-'Levelized NEIs'!D6)</f>
        <v>6302.4618991793677</v>
      </c>
    </row>
    <row r="14" spans="3:6">
      <c r="C14" s="14"/>
    </row>
    <row r="15" spans="3:6">
      <c r="C15" s="14" t="s">
        <v>260</v>
      </c>
      <c r="D15">
        <v>1</v>
      </c>
    </row>
    <row r="16" spans="3:6">
      <c r="C16" s="14" t="s">
        <v>261</v>
      </c>
      <c r="D16">
        <v>15</v>
      </c>
      <c r="E16" t="s">
        <v>140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19D7D-15D7-4F6B-BB68-1EB3DCFC91DF}">
  <sheetPr>
    <tabColor theme="3" tint="0.749992370372631"/>
  </sheetPr>
  <dimension ref="D1:L39"/>
  <sheetViews>
    <sheetView topLeftCell="A18" zoomScale="99" zoomScaleNormal="99" workbookViewId="0">
      <selection activeCell="B28" sqref="B28"/>
    </sheetView>
  </sheetViews>
  <sheetFormatPr defaultRowHeight="14.45"/>
  <cols>
    <col min="5" max="5" width="15.85546875" customWidth="1"/>
    <col min="6" max="6" width="33.42578125" customWidth="1"/>
    <col min="7" max="7" width="23.42578125" customWidth="1"/>
    <col min="8" max="8" width="11" customWidth="1"/>
    <col min="9" max="9" width="12.85546875" customWidth="1"/>
    <col min="10" max="10" width="10.140625" customWidth="1"/>
  </cols>
  <sheetData>
    <row r="1" spans="4:12" ht="35.1" customHeight="1"/>
    <row r="2" spans="4:12" ht="20.45" customHeight="1">
      <c r="E2" s="200" t="s">
        <v>34</v>
      </c>
      <c r="F2" s="200"/>
      <c r="G2" s="200"/>
      <c r="H2" s="200"/>
      <c r="I2" s="200"/>
      <c r="J2" s="200"/>
    </row>
    <row r="3" spans="4:12" ht="19.350000000000001" customHeight="1">
      <c r="E3" s="200" t="s">
        <v>35</v>
      </c>
      <c r="F3" s="200"/>
      <c r="G3" s="200"/>
      <c r="H3" s="200"/>
      <c r="I3" s="200"/>
      <c r="J3" s="200"/>
    </row>
    <row r="4" spans="4:12" ht="44.45" customHeight="1">
      <c r="D4" s="52"/>
      <c r="E4" s="50" t="s">
        <v>36</v>
      </c>
      <c r="F4" s="50" t="s">
        <v>37</v>
      </c>
      <c r="G4" s="51" t="s">
        <v>38</v>
      </c>
      <c r="H4" s="51" t="s">
        <v>39</v>
      </c>
      <c r="I4" s="51" t="s">
        <v>40</v>
      </c>
      <c r="J4" s="51" t="s">
        <v>41</v>
      </c>
    </row>
    <row r="5" spans="4:12" ht="43.5">
      <c r="D5" s="196" t="s">
        <v>42</v>
      </c>
      <c r="E5" s="199" t="s">
        <v>43</v>
      </c>
      <c r="F5" s="38" t="s">
        <v>44</v>
      </c>
      <c r="G5" s="40" t="s">
        <v>45</v>
      </c>
      <c r="H5" s="41">
        <v>-8.56</v>
      </c>
      <c r="I5" s="41">
        <v>-8.56</v>
      </c>
      <c r="J5" s="49">
        <f>'Other Fuel Impact Electric'!H24/10^6</f>
        <v>12.842104682751229</v>
      </c>
      <c r="L5" s="28"/>
    </row>
    <row r="6" spans="4:12" ht="50.45" customHeight="1">
      <c r="D6" s="197"/>
      <c r="E6" s="199"/>
      <c r="F6" s="38" t="s">
        <v>46</v>
      </c>
      <c r="G6" s="40" t="s">
        <v>45</v>
      </c>
      <c r="H6" s="41">
        <v>-8.6999999999999993</v>
      </c>
      <c r="I6" s="41">
        <v>-8.6999999999999993</v>
      </c>
      <c r="J6" s="49">
        <f>'Other Fuel Impact Electric'!P24/10^6</f>
        <v>8.7034989436979959</v>
      </c>
      <c r="L6" s="28"/>
    </row>
    <row r="7" spans="4:12" ht="29.1">
      <c r="D7" s="197"/>
      <c r="E7" s="199"/>
      <c r="F7" s="38" t="s">
        <v>47</v>
      </c>
      <c r="G7" s="40" t="s">
        <v>48</v>
      </c>
      <c r="H7" s="42">
        <v>0</v>
      </c>
      <c r="I7" s="42">
        <v>0</v>
      </c>
      <c r="J7" s="42">
        <v>0</v>
      </c>
    </row>
    <row r="8" spans="4:12" ht="29.1">
      <c r="D8" s="197"/>
      <c r="E8" s="199"/>
      <c r="F8" s="38" t="s">
        <v>49</v>
      </c>
      <c r="G8" s="40" t="s">
        <v>48</v>
      </c>
      <c r="H8" s="42">
        <v>0</v>
      </c>
      <c r="I8" s="42">
        <v>0</v>
      </c>
      <c r="J8" s="42">
        <v>0</v>
      </c>
    </row>
    <row r="9" spans="4:12" ht="15.6">
      <c r="D9" s="197"/>
      <c r="E9" s="199"/>
      <c r="F9" s="39" t="s">
        <v>50</v>
      </c>
      <c r="G9" s="40" t="s">
        <v>51</v>
      </c>
      <c r="H9" s="42">
        <v>0</v>
      </c>
      <c r="I9" s="42">
        <v>0</v>
      </c>
      <c r="J9" s="42">
        <v>0</v>
      </c>
    </row>
    <row r="10" spans="4:12" ht="39.6" customHeight="1">
      <c r="D10" s="197"/>
      <c r="E10" s="199"/>
      <c r="F10" s="38" t="s">
        <v>52</v>
      </c>
      <c r="G10" s="40" t="s">
        <v>48</v>
      </c>
      <c r="H10" s="42">
        <v>0</v>
      </c>
      <c r="I10" s="42">
        <v>0</v>
      </c>
      <c r="J10" s="42">
        <v>0</v>
      </c>
    </row>
    <row r="11" spans="4:12" ht="23.1" customHeight="1">
      <c r="D11" s="197"/>
      <c r="E11" s="199" t="s">
        <v>53</v>
      </c>
      <c r="F11" s="38" t="s">
        <v>54</v>
      </c>
      <c r="G11" s="40" t="s">
        <v>55</v>
      </c>
      <c r="H11" s="41">
        <v>-1.86</v>
      </c>
      <c r="I11" s="41">
        <v>-1.86</v>
      </c>
      <c r="J11" s="49">
        <f>'Other Fuel Impact Electric'!Q26/10^6</f>
        <v>1.8596901287165746</v>
      </c>
      <c r="L11" s="28"/>
    </row>
    <row r="12" spans="4:12" ht="26.45" customHeight="1">
      <c r="D12" s="197"/>
      <c r="E12" s="199"/>
      <c r="F12" s="38" t="s">
        <v>56</v>
      </c>
      <c r="G12" s="40" t="s">
        <v>57</v>
      </c>
      <c r="H12" s="43"/>
      <c r="I12" s="43"/>
      <c r="J12" s="43"/>
    </row>
    <row r="13" spans="4:12" ht="30.6" customHeight="1">
      <c r="D13" s="197"/>
      <c r="E13" s="199" t="s">
        <v>58</v>
      </c>
      <c r="F13" s="38" t="s">
        <v>59</v>
      </c>
      <c r="G13" s="40" t="s">
        <v>60</v>
      </c>
      <c r="H13" s="41">
        <v>-1.86</v>
      </c>
      <c r="I13" s="41">
        <v>-1.86</v>
      </c>
      <c r="J13" s="49">
        <f>'Other Fuel Impact Electric'!Q26/10^6</f>
        <v>1.8596901287165746</v>
      </c>
      <c r="L13" s="28"/>
    </row>
    <row r="14" spans="4:12" ht="26.45" customHeight="1">
      <c r="D14" s="197"/>
      <c r="E14" s="199"/>
      <c r="F14" s="38" t="s">
        <v>61</v>
      </c>
      <c r="G14" s="40" t="s">
        <v>57</v>
      </c>
      <c r="H14" s="43"/>
      <c r="I14" s="43"/>
      <c r="J14" s="43"/>
    </row>
    <row r="15" spans="4:12" ht="27" customHeight="1">
      <c r="D15" s="197"/>
      <c r="E15" s="199"/>
      <c r="F15" s="38" t="s">
        <v>62</v>
      </c>
      <c r="G15" s="40" t="s">
        <v>48</v>
      </c>
      <c r="H15" s="42">
        <v>0</v>
      </c>
      <c r="I15" s="42">
        <v>0</v>
      </c>
      <c r="J15" s="42">
        <v>0</v>
      </c>
    </row>
    <row r="16" spans="4:12" ht="15.6">
      <c r="D16" s="197"/>
      <c r="E16" s="199"/>
      <c r="F16" s="38" t="s">
        <v>63</v>
      </c>
      <c r="G16" s="40" t="s">
        <v>64</v>
      </c>
      <c r="H16" s="46" t="s">
        <v>64</v>
      </c>
      <c r="I16" s="46" t="s">
        <v>64</v>
      </c>
      <c r="J16" s="46" t="s">
        <v>64</v>
      </c>
    </row>
    <row r="17" spans="4:12" ht="15.6">
      <c r="D17" s="197"/>
      <c r="E17" s="199" t="s">
        <v>65</v>
      </c>
      <c r="F17" s="38" t="s">
        <v>66</v>
      </c>
      <c r="G17" s="40" t="s">
        <v>67</v>
      </c>
      <c r="H17" s="41">
        <f>-('Residential Heat Pump Measure'!$D$40*1000)/10^6</f>
        <v>-3.2</v>
      </c>
      <c r="I17" s="41">
        <f>-('Residential Heat Pump Measure'!$D$40*1000)/10^6</f>
        <v>-3.2</v>
      </c>
      <c r="J17" s="41">
        <f>-('Residential Heat Pump Measure'!$D$40*1000)/10^6</f>
        <v>-3.2</v>
      </c>
      <c r="L17" s="28"/>
    </row>
    <row r="18" spans="4:12" ht="31.35" customHeight="1">
      <c r="D18" s="197"/>
      <c r="E18" s="199"/>
      <c r="F18" s="38" t="s">
        <v>68</v>
      </c>
      <c r="G18" s="40" t="s">
        <v>69</v>
      </c>
      <c r="H18" s="42">
        <v>0</v>
      </c>
      <c r="I18" s="42">
        <v>0</v>
      </c>
      <c r="J18" s="42">
        <v>0</v>
      </c>
    </row>
    <row r="19" spans="4:12" ht="15.6">
      <c r="D19" s="197"/>
      <c r="E19" s="199"/>
      <c r="F19" s="38" t="s">
        <v>70</v>
      </c>
      <c r="G19" s="40" t="s">
        <v>71</v>
      </c>
      <c r="H19" s="41">
        <v>-1.9</v>
      </c>
      <c r="I19" s="41">
        <v>-1.9</v>
      </c>
      <c r="J19" s="41">
        <v>-1.9</v>
      </c>
      <c r="L19" s="28"/>
    </row>
    <row r="20" spans="4:12" ht="15.6">
      <c r="D20" s="197"/>
      <c r="E20" s="199"/>
      <c r="F20" s="38" t="s">
        <v>72</v>
      </c>
      <c r="G20" s="42" t="s">
        <v>51</v>
      </c>
      <c r="H20" s="42">
        <v>0</v>
      </c>
      <c r="I20" s="42">
        <v>0</v>
      </c>
      <c r="J20" s="42">
        <v>0</v>
      </c>
    </row>
    <row r="21" spans="4:12" ht="15.6">
      <c r="D21" s="197"/>
      <c r="E21" s="199"/>
      <c r="F21" s="38" t="s">
        <v>73</v>
      </c>
      <c r="G21" s="42" t="s">
        <v>74</v>
      </c>
      <c r="H21" s="43"/>
      <c r="I21" s="43"/>
      <c r="J21" s="43"/>
    </row>
    <row r="22" spans="4:12" ht="15.6">
      <c r="D22" s="197"/>
      <c r="E22" s="199"/>
      <c r="F22" s="38" t="s">
        <v>75</v>
      </c>
      <c r="G22" s="42" t="s">
        <v>74</v>
      </c>
      <c r="H22" s="43"/>
      <c r="I22" s="43"/>
      <c r="J22" s="43"/>
    </row>
    <row r="23" spans="4:12" ht="26.1" customHeight="1">
      <c r="D23" s="197"/>
      <c r="E23" s="199"/>
      <c r="F23" s="38" t="s">
        <v>76</v>
      </c>
      <c r="G23" s="40" t="s">
        <v>48</v>
      </c>
      <c r="H23" s="42">
        <v>0</v>
      </c>
      <c r="I23" s="42">
        <v>0</v>
      </c>
      <c r="J23" s="42">
        <v>0</v>
      </c>
    </row>
    <row r="24" spans="4:12" ht="15.6">
      <c r="D24" s="197"/>
      <c r="E24" s="199"/>
      <c r="F24" s="38" t="s">
        <v>77</v>
      </c>
      <c r="G24" s="42" t="s">
        <v>64</v>
      </c>
      <c r="H24" s="46" t="s">
        <v>64</v>
      </c>
      <c r="I24" s="46" t="s">
        <v>64</v>
      </c>
      <c r="J24" s="46" t="s">
        <v>64</v>
      </c>
    </row>
    <row r="25" spans="4:12">
      <c r="D25" s="53"/>
      <c r="E25" s="42"/>
      <c r="F25" s="42"/>
      <c r="G25" s="44" t="s">
        <v>78</v>
      </c>
      <c r="H25" s="45">
        <f>SUM(H5:H24)</f>
        <v>-26.079999999999995</v>
      </c>
      <c r="I25" s="45">
        <f>SUM(I5:I24)</f>
        <v>-26.079999999999995</v>
      </c>
      <c r="J25" s="45">
        <f>SUM(J5:J24)</f>
        <v>20.164983883882378</v>
      </c>
      <c r="L25" s="28"/>
    </row>
    <row r="26" spans="4:12" ht="45.6" customHeight="1">
      <c r="D26" s="198" t="s">
        <v>79</v>
      </c>
      <c r="E26" s="38" t="s">
        <v>80</v>
      </c>
      <c r="F26" s="39" t="s">
        <v>81</v>
      </c>
      <c r="G26" s="40" t="s">
        <v>82</v>
      </c>
      <c r="H26" s="41">
        <v>42.4</v>
      </c>
      <c r="I26" s="41">
        <v>6.2</v>
      </c>
      <c r="J26" s="42">
        <v>0</v>
      </c>
      <c r="L26" s="28"/>
    </row>
    <row r="27" spans="4:12" ht="47.1" customHeight="1">
      <c r="D27" s="198"/>
      <c r="E27" s="39" t="s">
        <v>83</v>
      </c>
      <c r="F27" s="39" t="s">
        <v>84</v>
      </c>
      <c r="G27" s="40" t="s">
        <v>85</v>
      </c>
      <c r="H27" s="41">
        <f>-('Criteria Pollutants'!$H$26/1000000)</f>
        <v>-0.77945168883200888</v>
      </c>
      <c r="I27" s="41">
        <f>-('Criteria Pollutants'!$H$26/1000000)</f>
        <v>-0.77945168883200888</v>
      </c>
      <c r="J27" s="157">
        <f>'Criteria Pollutants'!H45/1000000</f>
        <v>1.1691775332480132</v>
      </c>
      <c r="L27" s="28"/>
    </row>
    <row r="28" spans="4:12" ht="39.6" customHeight="1">
      <c r="D28" s="198"/>
      <c r="E28" s="39" t="s">
        <v>86</v>
      </c>
      <c r="F28" s="38" t="s">
        <v>87</v>
      </c>
      <c r="G28" s="40" t="s">
        <v>88</v>
      </c>
      <c r="H28" s="41">
        <f>'GHG Impact Summary'!N19/1000000</f>
        <v>13.898924603089831</v>
      </c>
      <c r="I28" s="41">
        <f>'GHG Impact Summary'!N38/1000000</f>
        <v>7.3139375782552172</v>
      </c>
      <c r="J28" s="41">
        <f>'GHG Impact Summary'!N76/1000000</f>
        <v>14.022332157762179</v>
      </c>
      <c r="L28" s="28"/>
    </row>
    <row r="29" spans="4:12" ht="12" customHeight="1">
      <c r="D29" s="53"/>
      <c r="E29" s="39"/>
      <c r="F29" s="38"/>
      <c r="G29" s="40"/>
      <c r="H29" s="41"/>
      <c r="I29" s="41"/>
      <c r="J29" s="41"/>
    </row>
    <row r="30" spans="4:12" ht="29.45" customHeight="1">
      <c r="D30" s="195" t="s">
        <v>89</v>
      </c>
      <c r="E30" s="39" t="s">
        <v>90</v>
      </c>
      <c r="F30" s="38" t="s">
        <v>91</v>
      </c>
      <c r="G30" s="40" t="s">
        <v>92</v>
      </c>
      <c r="H30" s="41">
        <f>-(('Residential Heat Pump Measure'!$D$38-'Residential Heat Pump Measure'!$D$40)*1000)/10^6</f>
        <v>-4.8</v>
      </c>
      <c r="I30" s="41">
        <f>-(('Residential Heat Pump Measure'!$D$38-'Residential Heat Pump Measure'!$D$40)*1000)/10^6</f>
        <v>-4.8</v>
      </c>
      <c r="J30" s="41">
        <f>-(('Residential Heat Pump Measure'!$D$38-'Residential Heat Pump Measure'!$D$40)*1000)/10^6</f>
        <v>-4.8</v>
      </c>
      <c r="L30" s="28"/>
    </row>
    <row r="31" spans="4:12" ht="53.1" customHeight="1">
      <c r="D31" s="195"/>
      <c r="E31" s="39" t="s">
        <v>93</v>
      </c>
      <c r="F31" s="38" t="s">
        <v>94</v>
      </c>
      <c r="G31" s="40" t="s">
        <v>95</v>
      </c>
      <c r="H31" s="41">
        <f>('Residential Heat Pump Measure'!$D$43*1000)/10^6</f>
        <v>0.8</v>
      </c>
      <c r="I31" s="41">
        <f>('Residential Heat Pump Measure'!$D$43*1000)/10^6</f>
        <v>0.8</v>
      </c>
      <c r="J31" s="41">
        <f>('Residential Heat Pump Measure'!$D$43*1000)/10^6</f>
        <v>0.8</v>
      </c>
      <c r="L31" s="28"/>
    </row>
    <row r="32" spans="4:12" ht="7.35" customHeight="1">
      <c r="D32" s="53"/>
      <c r="E32" s="39"/>
      <c r="F32" s="38"/>
      <c r="G32" s="40"/>
      <c r="H32" s="41"/>
      <c r="I32" s="41"/>
      <c r="J32" s="41"/>
    </row>
    <row r="33" spans="4:12" ht="29.1">
      <c r="D33" s="53"/>
      <c r="E33" s="42"/>
      <c r="F33" s="42"/>
      <c r="G33" s="47" t="s">
        <v>96</v>
      </c>
      <c r="H33" s="45">
        <f>SUM(H26:H31)</f>
        <v>51.519472914257818</v>
      </c>
      <c r="I33" s="45">
        <f t="shared" ref="I33:J33" si="0">SUM(I26:I31)</f>
        <v>8.7344858894232082</v>
      </c>
      <c r="J33" s="45">
        <f t="shared" si="0"/>
        <v>11.191509691010193</v>
      </c>
      <c r="L33" s="28"/>
    </row>
    <row r="34" spans="4:12">
      <c r="D34" s="54"/>
      <c r="E34" s="42"/>
      <c r="F34" s="42"/>
      <c r="G34" s="44" t="s">
        <v>97</v>
      </c>
      <c r="H34" s="45">
        <f>H33+H25</f>
        <v>25.439472914257824</v>
      </c>
      <c r="I34" s="45">
        <f>I33+I25</f>
        <v>-17.345514110576786</v>
      </c>
      <c r="J34" s="45">
        <f>J33+J25</f>
        <v>31.356493574892571</v>
      </c>
    </row>
    <row r="36" spans="4:12" ht="29.1">
      <c r="G36" s="35"/>
      <c r="H36" s="17" t="s">
        <v>98</v>
      </c>
      <c r="I36" s="17" t="s">
        <v>99</v>
      </c>
      <c r="J36" s="17" t="s">
        <v>100</v>
      </c>
    </row>
    <row r="37" spans="4:12">
      <c r="G37" s="35" t="s">
        <v>39</v>
      </c>
      <c r="H37" s="166">
        <f>-(H$5+H$6+H$11+H$13+H$17+H$19+H$27+H$30)</f>
        <v>31.659451688832004</v>
      </c>
      <c r="I37" s="166">
        <f>H$26+H$28+H$31</f>
        <v>57.098924603089827</v>
      </c>
      <c r="J37" s="167">
        <f>I37/H37</f>
        <v>1.8035348547502388</v>
      </c>
    </row>
    <row r="38" spans="4:12">
      <c r="G38" s="35" t="s">
        <v>101</v>
      </c>
      <c r="H38" s="166">
        <f>-(I$5+I$6+I$11+I$13+I$17+I$19+I$27+I$30)</f>
        <v>31.659451688832004</v>
      </c>
      <c r="I38" s="166">
        <f>I$26+I$28+I$31</f>
        <v>14.313937578255217</v>
      </c>
      <c r="J38" s="167">
        <f>I38/H38</f>
        <v>0.45212209355175015</v>
      </c>
    </row>
    <row r="39" spans="4:12">
      <c r="G39" s="35" t="s">
        <v>102</v>
      </c>
      <c r="H39" s="166">
        <f>-(J17+J19+J30)</f>
        <v>9.8999999999999986</v>
      </c>
      <c r="I39" s="166">
        <f>(J5+J6+J11+J13+J27+J28+J31)</f>
        <v>41.256493574892566</v>
      </c>
      <c r="J39" s="167">
        <f>I39/H39</f>
        <v>4.1673225833224823</v>
      </c>
    </row>
  </sheetData>
  <mergeCells count="9">
    <mergeCell ref="D30:D31"/>
    <mergeCell ref="D5:D24"/>
    <mergeCell ref="D26:D28"/>
    <mergeCell ref="E17:E24"/>
    <mergeCell ref="E2:J2"/>
    <mergeCell ref="E3:J3"/>
    <mergeCell ref="E5:E10"/>
    <mergeCell ref="E11:E12"/>
    <mergeCell ref="E13:E16"/>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9DB4F-A53E-4BEB-B990-01D41BFDC898}">
  <sheetPr>
    <tabColor theme="6" tint="0.59999389629810485"/>
  </sheetPr>
  <dimension ref="A3:D6"/>
  <sheetViews>
    <sheetView workbookViewId="0">
      <selection activeCell="F29" sqref="F29"/>
    </sheetView>
  </sheetViews>
  <sheetFormatPr defaultRowHeight="14.45"/>
  <cols>
    <col min="1" max="1" width="28.42578125" customWidth="1"/>
    <col min="2" max="2" width="9.5703125" customWidth="1"/>
    <col min="3" max="3" width="19.42578125" customWidth="1"/>
  </cols>
  <sheetData>
    <row r="3" spans="1:4">
      <c r="A3" s="14" t="s">
        <v>348</v>
      </c>
    </row>
    <row r="4" spans="1:4">
      <c r="A4" t="s">
        <v>314</v>
      </c>
      <c r="B4" s="10">
        <v>1.65</v>
      </c>
      <c r="C4" t="s">
        <v>276</v>
      </c>
      <c r="D4" t="s">
        <v>277</v>
      </c>
    </row>
    <row r="5" spans="1:4">
      <c r="A5" t="s">
        <v>275</v>
      </c>
      <c r="B5" t="s">
        <v>278</v>
      </c>
    </row>
    <row r="6" spans="1:4">
      <c r="A6" t="s">
        <v>349</v>
      </c>
      <c r="B6" s="20">
        <v>2E-3</v>
      </c>
      <c r="C6" t="s">
        <v>287</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A6122-9A5D-4BCF-BA9A-1F6EE380E7FC}">
  <sheetPr>
    <tabColor theme="6" tint="0.59999389629810485"/>
  </sheetPr>
  <dimension ref="B2:P27"/>
  <sheetViews>
    <sheetView zoomScale="90" zoomScaleNormal="90" workbookViewId="0">
      <selection activeCell="N23" sqref="N23"/>
    </sheetView>
  </sheetViews>
  <sheetFormatPr defaultRowHeight="14.45"/>
  <cols>
    <col min="4" max="4" width="12.42578125" customWidth="1"/>
    <col min="5" max="5" width="10.42578125" customWidth="1"/>
    <col min="6" max="6" width="8.85546875" customWidth="1"/>
    <col min="7" max="7" width="11.42578125" customWidth="1"/>
    <col min="8" max="8" width="9.5703125" customWidth="1"/>
    <col min="10" max="10" width="10.42578125" customWidth="1"/>
    <col min="11" max="11" width="15.5703125" customWidth="1"/>
    <col min="12" max="12" width="11.5703125" customWidth="1"/>
    <col min="14" max="14" width="14.42578125" customWidth="1"/>
  </cols>
  <sheetData>
    <row r="2" spans="2:16">
      <c r="B2" s="14" t="s">
        <v>374</v>
      </c>
    </row>
    <row r="3" spans="2:16" ht="87">
      <c r="C3" s="16" t="s">
        <v>375</v>
      </c>
      <c r="D3" s="17" t="s">
        <v>376</v>
      </c>
      <c r="E3" s="17" t="s">
        <v>377</v>
      </c>
      <c r="F3" s="17" t="s">
        <v>378</v>
      </c>
      <c r="G3" s="17" t="s">
        <v>379</v>
      </c>
      <c r="H3" s="17" t="s">
        <v>380</v>
      </c>
      <c r="I3" s="17" t="s">
        <v>381</v>
      </c>
      <c r="J3" s="17" t="s">
        <v>382</v>
      </c>
      <c r="K3" s="17" t="s">
        <v>383</v>
      </c>
      <c r="L3" s="17" t="s">
        <v>384</v>
      </c>
      <c r="M3" s="17" t="s">
        <v>299</v>
      </c>
      <c r="N3" s="17" t="s">
        <v>385</v>
      </c>
      <c r="P3" s="17" t="s">
        <v>546</v>
      </c>
    </row>
    <row r="4" spans="2:16">
      <c r="B4">
        <v>1</v>
      </c>
      <c r="C4" s="13">
        <v>2026</v>
      </c>
      <c r="D4" s="4">
        <f>'Residential Heat Pump Measu (2)'!$D$5*'Residential Heat Pump Measu (2)'!$D$15</f>
        <v>577.61732851985562</v>
      </c>
      <c r="E4" s="4">
        <f>'Residential Heat Pump Measu (2)'!$D$7*'Residential Heat Pump Measu (2)'!$D$15</f>
        <v>5.9072116991095935</v>
      </c>
      <c r="F4" s="4">
        <f>('Residential Heat Pump Measu (2)'!$D$13*'Residential Heat Pump Measu (2)'!$D$15)/1000</f>
        <v>6.3024618991793675</v>
      </c>
      <c r="G4" s="5">
        <f>F4*'Electric Emissions Intensit (2)'!I4</f>
        <v>2.8235029308323565</v>
      </c>
      <c r="H4" s="5">
        <f>E4-G4</f>
        <v>3.0837087682772371</v>
      </c>
      <c r="I4" s="6">
        <f>'SCC in 2021 CDN (2)'!E11</f>
        <v>275</v>
      </c>
      <c r="J4" s="12">
        <f>'Other Fuel Impact Heating O (2)'!F16</f>
        <v>110</v>
      </c>
      <c r="K4" s="12">
        <v>0</v>
      </c>
      <c r="L4" s="12">
        <f>I4-K4</f>
        <v>275</v>
      </c>
      <c r="M4" s="2">
        <f>1/(1+0.02)^B4</f>
        <v>0.98039215686274506</v>
      </c>
      <c r="N4" s="11">
        <f>H4*L4*M4</f>
        <v>831.39206987866692</v>
      </c>
      <c r="P4" s="11">
        <f>(('Residential Heat Pump Measu (2)'!$D$13*$G$27)/100)*M4</f>
        <v>47.577408454589346</v>
      </c>
    </row>
    <row r="5" spans="2:16">
      <c r="B5">
        <f>B4+1</f>
        <v>2</v>
      </c>
      <c r="C5" s="13">
        <f>C4+1</f>
        <v>2027</v>
      </c>
      <c r="D5" s="4">
        <f>'Residential Heat Pump Measu (2)'!$D$5*'Residential Heat Pump Measu (2)'!$D$15</f>
        <v>577.61732851985562</v>
      </c>
      <c r="E5" s="4">
        <f>'Residential Heat Pump Measu (2)'!$D$7*'Residential Heat Pump Measu (2)'!$D$15</f>
        <v>5.9072116991095935</v>
      </c>
      <c r="F5" s="4">
        <f>('Residential Heat Pump Measu (2)'!$D$13*'Residential Heat Pump Measu (2)'!$D$15)/1000</f>
        <v>6.3024618991793675</v>
      </c>
      <c r="G5" s="5">
        <f>F5*'Electric Emissions Intensit (2)'!I5</f>
        <v>2.2373739742086753</v>
      </c>
      <c r="H5" s="5">
        <f t="shared" ref="H5:H18" si="0">E5-G5</f>
        <v>3.6698377249009182</v>
      </c>
      <c r="I5" s="6">
        <f>'SCC in 2021 CDN (2)'!E12</f>
        <v>280</v>
      </c>
      <c r="J5" s="12">
        <f>'Other Fuel Impact Heating O (2)'!F17</f>
        <v>125</v>
      </c>
      <c r="K5" s="12">
        <v>0</v>
      </c>
      <c r="L5" s="12">
        <f t="shared" ref="L5:L18" si="1">I5-K5</f>
        <v>280</v>
      </c>
      <c r="M5" s="2">
        <f t="shared" ref="M5:M18" si="2">1/(1+0.02)^B5</f>
        <v>0.96116878123798544</v>
      </c>
      <c r="N5" s="11">
        <f t="shared" ref="N5:N18" si="3">H5*L5*M5</f>
        <v>987.65336694757514</v>
      </c>
      <c r="P5" s="11">
        <f>(('Residential Heat Pump Measu (2)'!$D$13*$G$27)/100)*M5</f>
        <v>46.644518092734657</v>
      </c>
    </row>
    <row r="6" spans="2:16">
      <c r="B6">
        <f t="shared" ref="B6:C18" si="4">B5+1</f>
        <v>3</v>
      </c>
      <c r="C6" s="13">
        <f t="shared" si="4"/>
        <v>2028</v>
      </c>
      <c r="D6" s="4">
        <f>'Residential Heat Pump Measu (2)'!$D$5*'Residential Heat Pump Measu (2)'!$D$15</f>
        <v>577.61732851985562</v>
      </c>
      <c r="E6" s="4">
        <f>'Residential Heat Pump Measu (2)'!$D$7*'Residential Heat Pump Measu (2)'!$D$15</f>
        <v>5.9072116991095935</v>
      </c>
      <c r="F6" s="4">
        <f>('Residential Heat Pump Measu (2)'!$D$13*'Residential Heat Pump Measu (2)'!$D$15)/1000</f>
        <v>6.3024618991793675</v>
      </c>
      <c r="G6" s="5">
        <f>F6*'Electric Emissions Intensit (2)'!I6</f>
        <v>2.7163610785463073</v>
      </c>
      <c r="H6" s="5">
        <f t="shared" si="0"/>
        <v>3.1908506205632863</v>
      </c>
      <c r="I6" s="6">
        <f>'SCC in 2021 CDN (2)'!E13</f>
        <v>285</v>
      </c>
      <c r="J6" s="12">
        <f>'Other Fuel Impact Heating O (2)'!F18</f>
        <v>140</v>
      </c>
      <c r="K6" s="12">
        <v>0</v>
      </c>
      <c r="L6" s="12">
        <f t="shared" si="1"/>
        <v>285</v>
      </c>
      <c r="M6" s="2">
        <f t="shared" si="2"/>
        <v>0.94232233454704462</v>
      </c>
      <c r="N6" s="11">
        <f t="shared" si="3"/>
        <v>856.94079469862334</v>
      </c>
      <c r="P6" s="11">
        <f>(('Residential Heat Pump Measu (2)'!$D$13*$G$27)/100)*M6</f>
        <v>45.729919698759467</v>
      </c>
    </row>
    <row r="7" spans="2:16">
      <c r="B7">
        <f t="shared" si="4"/>
        <v>4</v>
      </c>
      <c r="C7" s="13">
        <f t="shared" si="4"/>
        <v>2029</v>
      </c>
      <c r="D7" s="4">
        <f>'Residential Heat Pump Measu (2)'!$D$5*'Residential Heat Pump Measu (2)'!$D$15</f>
        <v>577.61732851985562</v>
      </c>
      <c r="E7" s="4">
        <f>'Residential Heat Pump Measu (2)'!$D$7*'Residential Heat Pump Measu (2)'!$D$15</f>
        <v>5.9072116991095935</v>
      </c>
      <c r="F7" s="4">
        <f>('Residential Heat Pump Measu (2)'!$D$13*'Residential Heat Pump Measu (2)'!$D$15)/1000</f>
        <v>6.3024618991793675</v>
      </c>
      <c r="G7" s="5">
        <f>F7*'Electric Emissions Intensit (2)'!I7</f>
        <v>2.4768675263774917</v>
      </c>
      <c r="H7" s="5">
        <f t="shared" si="0"/>
        <v>3.4303441727321018</v>
      </c>
      <c r="I7" s="6">
        <f>'SCC in 2021 CDN (2)'!E14</f>
        <v>289</v>
      </c>
      <c r="J7" s="12">
        <f>'Other Fuel Impact Heating O (2)'!F19</f>
        <v>155</v>
      </c>
      <c r="K7" s="12">
        <v>0</v>
      </c>
      <c r="L7" s="12">
        <f t="shared" si="1"/>
        <v>289</v>
      </c>
      <c r="M7" s="2">
        <f t="shared" si="2"/>
        <v>0.9238454260265142</v>
      </c>
      <c r="N7" s="11">
        <f t="shared" si="3"/>
        <v>915.87214659214987</v>
      </c>
      <c r="P7" s="11">
        <f>(('Residential Heat Pump Measu (2)'!$D$13*$G$27)/100)*M7</f>
        <v>44.833254606626923</v>
      </c>
    </row>
    <row r="8" spans="2:16">
      <c r="B8">
        <f t="shared" si="4"/>
        <v>5</v>
      </c>
      <c r="C8" s="13">
        <f t="shared" si="4"/>
        <v>2030</v>
      </c>
      <c r="D8" s="4">
        <f>'Residential Heat Pump Measu (2)'!$D$5*'Residential Heat Pump Measu (2)'!$D$15</f>
        <v>577.61732851985562</v>
      </c>
      <c r="E8" s="4">
        <f>'Residential Heat Pump Measu (2)'!$D$7*'Residential Heat Pump Measu (2)'!$D$15</f>
        <v>5.9072116991095935</v>
      </c>
      <c r="F8" s="4">
        <f>('Residential Heat Pump Measu (2)'!$D$13*'Residential Heat Pump Measu (2)'!$D$15)/1000</f>
        <v>6.3024618991793675</v>
      </c>
      <c r="G8" s="5">
        <f>F8*'Electric Emissions Intensit (2)'!I8</f>
        <v>0.5420117233294256</v>
      </c>
      <c r="H8" s="5">
        <f t="shared" si="0"/>
        <v>5.3651999757801683</v>
      </c>
      <c r="I8" s="6">
        <f>'SCC in 2021 CDN (2)'!E15</f>
        <v>294</v>
      </c>
      <c r="J8" s="12">
        <f>'Other Fuel Impact Heating O (2)'!F20</f>
        <v>170</v>
      </c>
      <c r="K8" s="12">
        <v>0</v>
      </c>
      <c r="L8" s="12">
        <f t="shared" si="1"/>
        <v>294</v>
      </c>
      <c r="M8" s="2">
        <f t="shared" si="2"/>
        <v>0.90573080982991594</v>
      </c>
      <c r="N8" s="11">
        <f t="shared" si="3"/>
        <v>1428.6715141750683</v>
      </c>
      <c r="P8" s="11">
        <f>(('Residential Heat Pump Measu (2)'!$D$13*$G$27)/100)*M8</f>
        <v>43.954171182967578</v>
      </c>
    </row>
    <row r="9" spans="2:16">
      <c r="B9">
        <f t="shared" si="4"/>
        <v>6</v>
      </c>
      <c r="C9" s="13">
        <f t="shared" si="4"/>
        <v>2031</v>
      </c>
      <c r="D9" s="4">
        <f>'Residential Heat Pump Measu (2)'!$D$5*'Residential Heat Pump Measu (2)'!$D$15</f>
        <v>577.61732851985562</v>
      </c>
      <c r="E9" s="4">
        <f>'Residential Heat Pump Measu (2)'!$D$7*'Residential Heat Pump Measu (2)'!$D$15</f>
        <v>5.9072116991095935</v>
      </c>
      <c r="F9" s="4">
        <f>('Residential Heat Pump Measu (2)'!$D$13*'Residential Heat Pump Measu (2)'!$D$15)/1000</f>
        <v>6.3024618991793675</v>
      </c>
      <c r="G9" s="5">
        <f>F9*'Electric Emissions Intensit (2)'!I9</f>
        <v>1.0020914419695195</v>
      </c>
      <c r="H9" s="5">
        <f t="shared" si="0"/>
        <v>4.9051202571400738</v>
      </c>
      <c r="I9" s="6">
        <f>'SCC in 2021 CDN (2)'!E16</f>
        <v>299</v>
      </c>
      <c r="J9" s="12">
        <f>J8*1.02</f>
        <v>173.4</v>
      </c>
      <c r="K9" s="12">
        <v>0</v>
      </c>
      <c r="L9" s="12">
        <f t="shared" si="1"/>
        <v>299</v>
      </c>
      <c r="M9" s="2">
        <f t="shared" si="2"/>
        <v>0.88797138218619198</v>
      </c>
      <c r="N9" s="11">
        <f t="shared" si="3"/>
        <v>1302.3263179421263</v>
      </c>
      <c r="P9" s="11">
        <f>(('Residential Heat Pump Measu (2)'!$D$13*$G$27)/100)*M9</f>
        <v>43.09232468918389</v>
      </c>
    </row>
    <row r="10" spans="2:16">
      <c r="B10">
        <f t="shared" si="4"/>
        <v>7</v>
      </c>
      <c r="C10" s="13">
        <f t="shared" si="4"/>
        <v>2032</v>
      </c>
      <c r="D10" s="4">
        <f>'Residential Heat Pump Measu (2)'!$D$5*'Residential Heat Pump Measu (2)'!$D$15</f>
        <v>577.61732851985562</v>
      </c>
      <c r="E10" s="4">
        <f>'Residential Heat Pump Measu (2)'!$D$7*'Residential Heat Pump Measu (2)'!$D$15</f>
        <v>5.9072116991095935</v>
      </c>
      <c r="F10" s="4">
        <f>('Residential Heat Pump Measu (2)'!$D$13*'Residential Heat Pump Measu (2)'!$D$15)/1000</f>
        <v>6.3024618991793675</v>
      </c>
      <c r="G10" s="5">
        <f>F10*'Electric Emissions Intensit (2)'!I10</f>
        <v>2.0167878077373977</v>
      </c>
      <c r="H10" s="5">
        <f t="shared" si="0"/>
        <v>3.8904238913721958</v>
      </c>
      <c r="I10" s="6">
        <f>'SCC in 2021 CDN (2)'!E17</f>
        <v>303</v>
      </c>
      <c r="J10" s="12">
        <f t="shared" ref="J10:J18" si="5">J9*1.02</f>
        <v>176.86799999999999</v>
      </c>
      <c r="K10" s="12">
        <v>0</v>
      </c>
      <c r="L10" s="12">
        <f t="shared" si="1"/>
        <v>303</v>
      </c>
      <c r="M10" s="2">
        <f t="shared" si="2"/>
        <v>0.87056017861391388</v>
      </c>
      <c r="N10" s="11">
        <f t="shared" si="3"/>
        <v>1026.2149796803153</v>
      </c>
      <c r="P10" s="11">
        <f>(('Residential Heat Pump Measu (2)'!$D$13*$G$27)/100)*M10</f>
        <v>42.247377146258728</v>
      </c>
    </row>
    <row r="11" spans="2:16">
      <c r="B11">
        <f t="shared" si="4"/>
        <v>8</v>
      </c>
      <c r="C11" s="13">
        <f t="shared" si="4"/>
        <v>2033</v>
      </c>
      <c r="D11" s="4">
        <f>'Residential Heat Pump Measu (2)'!$D$5*'Residential Heat Pump Measu (2)'!$D$15</f>
        <v>577.61732851985562</v>
      </c>
      <c r="E11" s="4">
        <f>'Residential Heat Pump Measu (2)'!$D$7*'Residential Heat Pump Measu (2)'!$D$15</f>
        <v>5.9072116991095935</v>
      </c>
      <c r="F11" s="4">
        <f>('Residential Heat Pump Measu (2)'!$D$13*'Residential Heat Pump Measu (2)'!$D$15)/1000</f>
        <v>6.3024618991793675</v>
      </c>
      <c r="G11" s="5">
        <f>F11*'Electric Emissions Intensit (2)'!I11</f>
        <v>2.268886283704572</v>
      </c>
      <c r="H11" s="5">
        <f t="shared" si="0"/>
        <v>3.6383254154050215</v>
      </c>
      <c r="I11" s="6">
        <f>'SCC in 2021 CDN (2)'!E18</f>
        <v>308</v>
      </c>
      <c r="J11" s="12">
        <f t="shared" si="5"/>
        <v>180.40536</v>
      </c>
      <c r="K11" s="12">
        <v>0</v>
      </c>
      <c r="L11" s="12">
        <f t="shared" si="1"/>
        <v>308</v>
      </c>
      <c r="M11" s="2">
        <f t="shared" si="2"/>
        <v>0.85349037119011162</v>
      </c>
      <c r="N11" s="11">
        <f t="shared" si="3"/>
        <v>956.42491846577013</v>
      </c>
      <c r="P11" s="11">
        <f>(('Residential Heat Pump Measu (2)'!$D$13*$G$27)/100)*M11</f>
        <v>41.418997202214435</v>
      </c>
    </row>
    <row r="12" spans="2:16">
      <c r="B12">
        <f t="shared" si="4"/>
        <v>9</v>
      </c>
      <c r="C12" s="13">
        <f t="shared" si="4"/>
        <v>2034</v>
      </c>
      <c r="D12" s="4">
        <f>'Residential Heat Pump Measu (2)'!$D$5*'Residential Heat Pump Measu (2)'!$D$15</f>
        <v>577.61732851985562</v>
      </c>
      <c r="E12" s="4">
        <f>'Residential Heat Pump Measu (2)'!$D$7*'Residential Heat Pump Measu (2)'!$D$15</f>
        <v>5.9072116991095935</v>
      </c>
      <c r="F12" s="4">
        <f>('Residential Heat Pump Measu (2)'!$D$13*'Residential Heat Pump Measu (2)'!$D$15)/1000</f>
        <v>6.3024618991793675</v>
      </c>
      <c r="G12" s="5">
        <f>F12*'Electric Emissions Intensit (2)'!I12</f>
        <v>2.3256084407971866</v>
      </c>
      <c r="H12" s="5">
        <f t="shared" si="0"/>
        <v>3.5816032583124069</v>
      </c>
      <c r="I12" s="6">
        <f>'SCC in 2021 CDN (2)'!E19</f>
        <v>313</v>
      </c>
      <c r="J12" s="12">
        <f t="shared" si="5"/>
        <v>184.01346720000001</v>
      </c>
      <c r="K12" s="12">
        <v>0</v>
      </c>
      <c r="L12" s="12">
        <f t="shared" si="1"/>
        <v>313</v>
      </c>
      <c r="M12" s="2">
        <f t="shared" si="2"/>
        <v>0.83675526587265847</v>
      </c>
      <c r="N12" s="11">
        <f t="shared" si="3"/>
        <v>938.03764602444789</v>
      </c>
      <c r="P12" s="11">
        <f>(('Residential Heat Pump Measu (2)'!$D$13*$G$27)/100)*M12</f>
        <v>40.606860002171018</v>
      </c>
    </row>
    <row r="13" spans="2:16">
      <c r="B13">
        <f t="shared" si="4"/>
        <v>10</v>
      </c>
      <c r="C13" s="13">
        <f t="shared" si="4"/>
        <v>2035</v>
      </c>
      <c r="D13" s="4">
        <f>'Residential Heat Pump Measu (2)'!$D$5*'Residential Heat Pump Measu (2)'!$D$15</f>
        <v>577.61732851985562</v>
      </c>
      <c r="E13" s="4">
        <f>'Residential Heat Pump Measu (2)'!$D$7*'Residential Heat Pump Measu (2)'!$D$15</f>
        <v>5.9072116991095935</v>
      </c>
      <c r="F13" s="4">
        <f>('Residential Heat Pump Measu (2)'!$D$13*'Residential Heat Pump Measu (2)'!$D$15)/1000</f>
        <v>6.3024618991793675</v>
      </c>
      <c r="G13" s="5">
        <f>F13*'Electric Emissions Intensit (2)'!I13</f>
        <v>1.6953622508792499</v>
      </c>
      <c r="H13" s="5">
        <f t="shared" si="0"/>
        <v>4.2118494482303435</v>
      </c>
      <c r="I13" s="6">
        <f>'SCC in 2021 CDN (2)'!E20</f>
        <v>317</v>
      </c>
      <c r="J13" s="12">
        <f t="shared" si="5"/>
        <v>187.69373654400002</v>
      </c>
      <c r="K13" s="12">
        <v>0</v>
      </c>
      <c r="L13" s="12">
        <f t="shared" si="1"/>
        <v>317</v>
      </c>
      <c r="M13" s="2">
        <f t="shared" si="2"/>
        <v>0.82034829987515534</v>
      </c>
      <c r="N13" s="11">
        <f t="shared" si="3"/>
        <v>1095.293180336922</v>
      </c>
      <c r="P13" s="11">
        <f>(('Residential Heat Pump Measu (2)'!$D$13*$G$27)/100)*M13</f>
        <v>39.810647060951979</v>
      </c>
    </row>
    <row r="14" spans="2:16">
      <c r="B14">
        <f t="shared" si="4"/>
        <v>11</v>
      </c>
      <c r="C14" s="13">
        <f t="shared" si="4"/>
        <v>2036</v>
      </c>
      <c r="D14" s="4">
        <f>'Residential Heat Pump Measu (2)'!$D$5*'Residential Heat Pump Measu (2)'!$D$15</f>
        <v>577.61732851985562</v>
      </c>
      <c r="E14" s="4">
        <f>'Residential Heat Pump Measu (2)'!$D$7*'Residential Heat Pump Measu (2)'!$D$15</f>
        <v>5.9072116991095935</v>
      </c>
      <c r="F14" s="4">
        <f>('Residential Heat Pump Measu (2)'!$D$13*'Residential Heat Pump Measu (2)'!$D$15)/1000</f>
        <v>6.3024618991793675</v>
      </c>
      <c r="G14" s="5">
        <f>F14*'Electric Emissions Intensit (2)'!I14</f>
        <v>2.2373739742086753</v>
      </c>
      <c r="H14" s="5">
        <f t="shared" si="0"/>
        <v>3.6698377249009182</v>
      </c>
      <c r="I14" s="6">
        <f>'SCC in 2021 CDN (2)'!E21</f>
        <v>322</v>
      </c>
      <c r="J14" s="12">
        <f t="shared" si="5"/>
        <v>191.44761127488002</v>
      </c>
      <c r="K14" s="12">
        <v>0</v>
      </c>
      <c r="L14" s="12">
        <f t="shared" si="1"/>
        <v>322</v>
      </c>
      <c r="M14" s="2">
        <f t="shared" si="2"/>
        <v>0.80426303909328967</v>
      </c>
      <c r="N14" s="11">
        <f t="shared" si="3"/>
        <v>950.3877789977812</v>
      </c>
      <c r="P14" s="11">
        <f>(('Residential Heat Pump Measu (2)'!$D$13*$G$27)/100)*M14</f>
        <v>39.030046138188219</v>
      </c>
    </row>
    <row r="15" spans="2:16">
      <c r="B15">
        <f t="shared" si="4"/>
        <v>12</v>
      </c>
      <c r="C15" s="13">
        <f t="shared" si="4"/>
        <v>2037</v>
      </c>
      <c r="D15" s="4">
        <f>'Residential Heat Pump Measu (2)'!$D$5*'Residential Heat Pump Measu (2)'!$D$15</f>
        <v>577.61732851985562</v>
      </c>
      <c r="E15" s="4">
        <f>'Residential Heat Pump Measu (2)'!$D$7*'Residential Heat Pump Measu (2)'!$D$15</f>
        <v>5.9072116991095935</v>
      </c>
      <c r="F15" s="4">
        <f>('Residential Heat Pump Measu (2)'!$D$13*'Residential Heat Pump Measu (2)'!$D$15)/1000</f>
        <v>6.3024618991793675</v>
      </c>
      <c r="G15" s="5">
        <f>F15*'Electric Emissions Intensit (2)'!I15</f>
        <v>1.8151090269636576</v>
      </c>
      <c r="H15" s="5">
        <f t="shared" si="0"/>
        <v>4.0921026721459359</v>
      </c>
      <c r="I15" s="6">
        <f>'SCC in 2021 CDN (2)'!E22</f>
        <v>327</v>
      </c>
      <c r="J15" s="12">
        <f t="shared" si="5"/>
        <v>195.27656350037762</v>
      </c>
      <c r="K15" s="12">
        <v>0</v>
      </c>
      <c r="L15" s="12">
        <f t="shared" si="1"/>
        <v>327</v>
      </c>
      <c r="M15" s="2">
        <f t="shared" si="2"/>
        <v>0.78849317558165644</v>
      </c>
      <c r="N15" s="11">
        <f t="shared" si="3"/>
        <v>1055.0965750606556</v>
      </c>
      <c r="P15" s="11">
        <f>(('Residential Heat Pump Measu (2)'!$D$13*$G$27)/100)*M15</f>
        <v>38.264751115870794</v>
      </c>
    </row>
    <row r="16" spans="2:16">
      <c r="B16">
        <f t="shared" si="4"/>
        <v>13</v>
      </c>
      <c r="C16" s="13">
        <f t="shared" si="4"/>
        <v>2038</v>
      </c>
      <c r="D16" s="4">
        <f>'Residential Heat Pump Measu (2)'!$D$5*'Residential Heat Pump Measu (2)'!$D$15</f>
        <v>577.61732851985562</v>
      </c>
      <c r="E16" s="4">
        <f>'Residential Heat Pump Measu (2)'!$D$7*'Residential Heat Pump Measu (2)'!$D$15</f>
        <v>5.9072116991095935</v>
      </c>
      <c r="F16" s="4">
        <f>('Residential Heat Pump Measu (2)'!$D$13*'Residential Heat Pump Measu (2)'!$D$15)/1000</f>
        <v>6.3024618991793675</v>
      </c>
      <c r="G16" s="5">
        <f>F16*'Electric Emissions Intensit (2)'!I16</f>
        <v>1.5062883939038687</v>
      </c>
      <c r="H16" s="5">
        <f t="shared" si="0"/>
        <v>4.4009233052057244</v>
      </c>
      <c r="I16" s="6">
        <f>'SCC in 2021 CDN (2)'!E23</f>
        <v>331</v>
      </c>
      <c r="J16" s="12">
        <f t="shared" si="5"/>
        <v>199.18209477038516</v>
      </c>
      <c r="K16" s="12">
        <v>0</v>
      </c>
      <c r="L16" s="12">
        <f t="shared" si="1"/>
        <v>331</v>
      </c>
      <c r="M16" s="2">
        <f t="shared" si="2"/>
        <v>0.77303252508005538</v>
      </c>
      <c r="N16" s="11">
        <f t="shared" si="3"/>
        <v>1126.0808191065655</v>
      </c>
      <c r="P16" s="11">
        <f>(('Residential Heat Pump Measu (2)'!$D$13*$G$27)/100)*M16</f>
        <v>37.514461878304708</v>
      </c>
    </row>
    <row r="17" spans="2:16">
      <c r="B17">
        <f t="shared" si="4"/>
        <v>14</v>
      </c>
      <c r="C17" s="13">
        <f t="shared" si="4"/>
        <v>2039</v>
      </c>
      <c r="D17" s="4">
        <f>'Residential Heat Pump Measu (2)'!$D$5*'Residential Heat Pump Measu (2)'!$D$15</f>
        <v>577.61732851985562</v>
      </c>
      <c r="E17" s="4">
        <f>'Residential Heat Pump Measu (2)'!$D$7*'Residential Heat Pump Measu (2)'!$D$15</f>
        <v>5.9072116991095935</v>
      </c>
      <c r="F17" s="4">
        <f>('Residential Heat Pump Measu (2)'!$D$13*'Residential Heat Pump Measu (2)'!$D$15)/1000</f>
        <v>6.3024618991793675</v>
      </c>
      <c r="G17" s="5">
        <f>F17*'Electric Emissions Intensit (2)'!I17</f>
        <v>1.3739366940211022</v>
      </c>
      <c r="H17" s="5">
        <f t="shared" si="0"/>
        <v>4.5332750050884911</v>
      </c>
      <c r="I17" s="6">
        <f>'SCC in 2021 CDN (2)'!E24</f>
        <v>336</v>
      </c>
      <c r="J17" s="12">
        <f t="shared" si="5"/>
        <v>203.16573666579288</v>
      </c>
      <c r="K17" s="12">
        <v>0</v>
      </c>
      <c r="L17" s="12">
        <f t="shared" si="1"/>
        <v>336</v>
      </c>
      <c r="M17" s="2">
        <f t="shared" si="2"/>
        <v>0.75787502458828948</v>
      </c>
      <c r="N17" s="11">
        <f t="shared" si="3"/>
        <v>1154.3803843981646</v>
      </c>
      <c r="P17" s="11">
        <f>(('Residential Heat Pump Measu (2)'!$D$13*$G$27)/100)*M17</f>
        <v>36.778884194416371</v>
      </c>
    </row>
    <row r="18" spans="2:16">
      <c r="B18">
        <f t="shared" si="4"/>
        <v>15</v>
      </c>
      <c r="C18" s="13">
        <f t="shared" si="4"/>
        <v>2040</v>
      </c>
      <c r="D18" s="4">
        <f>'Residential Heat Pump Measu (2)'!$D$5*'Residential Heat Pump Measu (2)'!$D$15</f>
        <v>577.61732851985562</v>
      </c>
      <c r="E18" s="4">
        <f>'Residential Heat Pump Measu (2)'!$D$7*'Residential Heat Pump Measu (2)'!$D$15</f>
        <v>5.9072116991095935</v>
      </c>
      <c r="F18" s="4">
        <f>('Residential Heat Pump Measu (2)'!$D$13*'Residential Heat Pump Measu (2)'!$D$15)/1000</f>
        <v>6.3024618991793675</v>
      </c>
      <c r="G18" s="5">
        <f>F18*'Electric Emissions Intensit (2)'!I18</f>
        <v>1.3928440797186403</v>
      </c>
      <c r="H18" s="5">
        <f t="shared" si="0"/>
        <v>4.5143676193909528</v>
      </c>
      <c r="I18" s="6">
        <f>'SCC in 2021 CDN (2)'!E25</f>
        <v>341</v>
      </c>
      <c r="J18" s="12">
        <f t="shared" si="5"/>
        <v>207.22905139910873</v>
      </c>
      <c r="K18" s="12">
        <v>0</v>
      </c>
      <c r="L18" s="12">
        <f t="shared" si="1"/>
        <v>341</v>
      </c>
      <c r="M18" s="2">
        <f t="shared" si="2"/>
        <v>0.74301472998851925</v>
      </c>
      <c r="N18" s="11">
        <f t="shared" si="3"/>
        <v>1143.796398486623</v>
      </c>
      <c r="P18" s="11">
        <f>(('Residential Heat Pump Measu (2)'!$D$13*$G$27)/100)*M18</f>
        <v>36.057729602369001</v>
      </c>
    </row>
    <row r="19" spans="2:16">
      <c r="M19" s="14" t="s">
        <v>193</v>
      </c>
      <c r="N19" s="18">
        <f>SUM(N4:N18)</f>
        <v>15768.568890791455</v>
      </c>
      <c r="P19" s="18">
        <f>SUM(P4:P18)</f>
        <v>623.56135106560703</v>
      </c>
    </row>
    <row r="20" spans="2:16">
      <c r="D20" s="31"/>
    </row>
    <row r="24" spans="2:16">
      <c r="C24" t="s">
        <v>547</v>
      </c>
      <c r="F24" t="s">
        <v>402</v>
      </c>
      <c r="G24" t="s">
        <v>548</v>
      </c>
    </row>
    <row r="25" spans="2:16">
      <c r="C25" t="s">
        <v>404</v>
      </c>
      <c r="D25">
        <v>0.34</v>
      </c>
    </row>
    <row r="26" spans="2:16">
      <c r="C26" t="s">
        <v>405</v>
      </c>
      <c r="D26">
        <v>0.77</v>
      </c>
    </row>
    <row r="27" spans="2:16">
      <c r="C27" t="s">
        <v>406</v>
      </c>
      <c r="D27">
        <f>(D25+D26)/2</f>
        <v>0.55500000000000005</v>
      </c>
      <c r="F27">
        <f>D27*1.3268</f>
        <v>0.73637400000000008</v>
      </c>
      <c r="G27">
        <v>0.77</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09735-A584-4198-8C05-3410F0761075}">
  <sheetPr>
    <tabColor theme="6" tint="0.59999389629810485"/>
  </sheetPr>
  <dimension ref="D2:G65"/>
  <sheetViews>
    <sheetView topLeftCell="A31" zoomScaleNormal="100" workbookViewId="0">
      <selection activeCell="F29" sqref="F29"/>
    </sheetView>
  </sheetViews>
  <sheetFormatPr defaultRowHeight="14.45"/>
  <cols>
    <col min="6" max="6" width="10.5703125" customWidth="1"/>
    <col min="7" max="7" width="13.42578125" customWidth="1"/>
  </cols>
  <sheetData>
    <row r="2" spans="4:7">
      <c r="D2" t="s">
        <v>396</v>
      </c>
    </row>
    <row r="4" spans="4:7" ht="31.5" thickBot="1">
      <c r="D4" s="7" t="s">
        <v>375</v>
      </c>
      <c r="E4" s="7" t="s">
        <v>398</v>
      </c>
      <c r="F4" s="7" t="s">
        <v>399</v>
      </c>
      <c r="G4" s="7" t="s">
        <v>400</v>
      </c>
    </row>
    <row r="5" spans="4:7" ht="15.95" thickBot="1">
      <c r="D5" s="8">
        <v>2020</v>
      </c>
      <c r="E5" s="22">
        <v>247</v>
      </c>
      <c r="F5" s="22">
        <v>2107</v>
      </c>
      <c r="G5" s="22">
        <v>69230</v>
      </c>
    </row>
    <row r="6" spans="4:7" ht="15.95" thickBot="1">
      <c r="D6" s="9">
        <v>2021</v>
      </c>
      <c r="E6" s="23">
        <v>252</v>
      </c>
      <c r="F6" s="23">
        <v>2203</v>
      </c>
      <c r="G6" s="23">
        <v>70797</v>
      </c>
    </row>
    <row r="7" spans="4:7" ht="15.95" thickBot="1">
      <c r="D7" s="8">
        <v>2022</v>
      </c>
      <c r="E7" s="22">
        <v>256</v>
      </c>
      <c r="F7" s="22">
        <v>2300</v>
      </c>
      <c r="G7" s="22">
        <v>72364</v>
      </c>
    </row>
    <row r="8" spans="4:7" ht="15.95" thickBot="1">
      <c r="D8" s="9">
        <v>2023</v>
      </c>
      <c r="E8" s="23">
        <v>261</v>
      </c>
      <c r="F8" s="23">
        <v>2396</v>
      </c>
      <c r="G8" s="23">
        <v>73932</v>
      </c>
    </row>
    <row r="9" spans="4:7" ht="15.95" thickBot="1">
      <c r="D9" s="8">
        <v>2024</v>
      </c>
      <c r="E9" s="22">
        <v>266</v>
      </c>
      <c r="F9" s="22">
        <v>2494</v>
      </c>
      <c r="G9" s="22">
        <v>75499</v>
      </c>
    </row>
    <row r="10" spans="4:7" ht="15.95" thickBot="1">
      <c r="D10" s="9">
        <v>2025</v>
      </c>
      <c r="E10" s="23">
        <v>271</v>
      </c>
      <c r="F10" s="23">
        <v>2589</v>
      </c>
      <c r="G10" s="23">
        <v>77066</v>
      </c>
    </row>
    <row r="11" spans="4:7" ht="15.95" thickBot="1">
      <c r="D11" s="8">
        <v>2026</v>
      </c>
      <c r="E11" s="22">
        <v>275</v>
      </c>
      <c r="F11" s="22">
        <v>2687</v>
      </c>
      <c r="G11" s="22">
        <v>78633</v>
      </c>
    </row>
    <row r="12" spans="4:7" ht="15.95" thickBot="1">
      <c r="D12" s="9">
        <v>2027</v>
      </c>
      <c r="E12" s="23">
        <v>280</v>
      </c>
      <c r="F12" s="23">
        <v>2783</v>
      </c>
      <c r="G12" s="23">
        <v>80201</v>
      </c>
    </row>
    <row r="13" spans="4:7" ht="15.95" thickBot="1">
      <c r="D13" s="8">
        <v>2028</v>
      </c>
      <c r="E13" s="22">
        <v>285</v>
      </c>
      <c r="F13" s="22">
        <v>2880</v>
      </c>
      <c r="G13" s="22">
        <v>81768</v>
      </c>
    </row>
    <row r="14" spans="4:7" ht="15.95" thickBot="1">
      <c r="D14" s="9">
        <v>2029</v>
      </c>
      <c r="E14" s="23">
        <v>289</v>
      </c>
      <c r="F14" s="23">
        <v>2976</v>
      </c>
      <c r="G14" s="23">
        <v>83335</v>
      </c>
    </row>
    <row r="15" spans="4:7" ht="15.95" thickBot="1">
      <c r="D15" s="8">
        <v>2030</v>
      </c>
      <c r="E15" s="22">
        <v>294</v>
      </c>
      <c r="F15" s="22">
        <v>3073</v>
      </c>
      <c r="G15" s="22">
        <v>84903</v>
      </c>
    </row>
    <row r="16" spans="4:7" ht="15.95" thickBot="1">
      <c r="D16" s="9">
        <v>2031</v>
      </c>
      <c r="E16" s="23">
        <v>299</v>
      </c>
      <c r="F16" s="23">
        <v>3184</v>
      </c>
      <c r="G16" s="23">
        <v>86501</v>
      </c>
    </row>
    <row r="17" spans="4:7" ht="15.95" thickBot="1">
      <c r="D17" s="8">
        <v>2032</v>
      </c>
      <c r="E17" s="22">
        <v>303</v>
      </c>
      <c r="F17" s="22">
        <v>3297</v>
      </c>
      <c r="G17" s="22">
        <v>88099</v>
      </c>
    </row>
    <row r="18" spans="4:7" ht="15.95" thickBot="1">
      <c r="D18" s="9">
        <v>2033</v>
      </c>
      <c r="E18" s="23">
        <v>308</v>
      </c>
      <c r="F18" s="23">
        <v>3409</v>
      </c>
      <c r="G18" s="23">
        <v>89698</v>
      </c>
    </row>
    <row r="19" spans="4:7" ht="15.95" thickBot="1">
      <c r="D19" s="8">
        <v>2034</v>
      </c>
      <c r="E19" s="22">
        <v>313</v>
      </c>
      <c r="F19" s="22">
        <v>3522</v>
      </c>
      <c r="G19" s="22">
        <v>91295</v>
      </c>
    </row>
    <row r="20" spans="4:7" ht="15.95" thickBot="1">
      <c r="D20" s="9">
        <v>2035</v>
      </c>
      <c r="E20" s="23">
        <v>317</v>
      </c>
      <c r="F20" s="23">
        <v>3634</v>
      </c>
      <c r="G20" s="23">
        <v>92894</v>
      </c>
    </row>
    <row r="21" spans="4:7" ht="15.95" thickBot="1">
      <c r="D21" s="8">
        <v>2036</v>
      </c>
      <c r="E21" s="22">
        <v>322</v>
      </c>
      <c r="F21" s="22">
        <v>3745</v>
      </c>
      <c r="G21" s="22">
        <v>94492</v>
      </c>
    </row>
    <row r="22" spans="4:7" ht="15.95" thickBot="1">
      <c r="D22" s="9">
        <v>2037</v>
      </c>
      <c r="E22" s="23">
        <v>327</v>
      </c>
      <c r="F22" s="23">
        <v>3858</v>
      </c>
      <c r="G22" s="23">
        <v>96090</v>
      </c>
    </row>
    <row r="23" spans="4:7" ht="15.95" thickBot="1">
      <c r="D23" s="8">
        <v>2038</v>
      </c>
      <c r="E23" s="22">
        <v>331</v>
      </c>
      <c r="F23" s="22">
        <v>3971</v>
      </c>
      <c r="G23" s="22">
        <v>97689</v>
      </c>
    </row>
    <row r="24" spans="4:7" ht="15.95" thickBot="1">
      <c r="D24" s="9">
        <v>2039</v>
      </c>
      <c r="E24" s="23">
        <v>336</v>
      </c>
      <c r="F24" s="23">
        <v>4083</v>
      </c>
      <c r="G24" s="23">
        <v>99287</v>
      </c>
    </row>
    <row r="25" spans="4:7" ht="15.95" thickBot="1">
      <c r="D25" s="8">
        <v>2040</v>
      </c>
      <c r="E25" s="22">
        <v>341</v>
      </c>
      <c r="F25" s="22">
        <v>4194</v>
      </c>
      <c r="G25" s="22">
        <v>100886</v>
      </c>
    </row>
    <row r="26" spans="4:7" ht="15.95" thickBot="1">
      <c r="D26" s="9">
        <v>2041</v>
      </c>
      <c r="E26" s="23">
        <v>347</v>
      </c>
      <c r="F26" s="23">
        <v>4316</v>
      </c>
      <c r="G26" s="23">
        <v>102689</v>
      </c>
    </row>
    <row r="27" spans="4:7" ht="15.95" thickBot="1">
      <c r="D27" s="8">
        <v>2042</v>
      </c>
      <c r="E27" s="22">
        <v>352</v>
      </c>
      <c r="F27" s="22">
        <v>4439</v>
      </c>
      <c r="G27" s="22">
        <v>104492</v>
      </c>
    </row>
    <row r="28" spans="4:7" ht="15.95" thickBot="1">
      <c r="D28" s="9">
        <v>2043</v>
      </c>
      <c r="E28" s="23">
        <v>357</v>
      </c>
      <c r="F28" s="23">
        <v>4560</v>
      </c>
      <c r="G28" s="23">
        <v>106295</v>
      </c>
    </row>
    <row r="29" spans="4:7" ht="15.95" thickBot="1">
      <c r="D29" s="8">
        <v>2044</v>
      </c>
      <c r="E29" s="22">
        <v>362</v>
      </c>
      <c r="F29" s="22">
        <v>4682</v>
      </c>
      <c r="G29" s="22">
        <v>108099</v>
      </c>
    </row>
    <row r="30" spans="4:7" ht="15.95" thickBot="1">
      <c r="D30" s="9">
        <v>2045</v>
      </c>
      <c r="E30" s="23">
        <v>367</v>
      </c>
      <c r="F30" s="23">
        <v>4803</v>
      </c>
      <c r="G30" s="23">
        <v>109902</v>
      </c>
    </row>
    <row r="31" spans="4:7" ht="15.95" thickBot="1">
      <c r="D31" s="8">
        <v>2046</v>
      </c>
      <c r="E31" s="22">
        <v>372</v>
      </c>
      <c r="F31" s="22">
        <v>4924</v>
      </c>
      <c r="G31" s="22">
        <v>111705</v>
      </c>
    </row>
    <row r="32" spans="4:7" ht="15.95" thickBot="1">
      <c r="D32" s="9">
        <v>2047</v>
      </c>
      <c r="E32" s="23">
        <v>379</v>
      </c>
      <c r="F32" s="23">
        <v>5046</v>
      </c>
      <c r="G32" s="23">
        <v>113508</v>
      </c>
    </row>
    <row r="33" spans="4:7" ht="15.95" thickBot="1">
      <c r="D33" s="8">
        <v>2048</v>
      </c>
      <c r="E33" s="22">
        <v>384</v>
      </c>
      <c r="F33" s="22">
        <v>5167</v>
      </c>
      <c r="G33" s="22">
        <v>115313</v>
      </c>
    </row>
    <row r="34" spans="4:7" ht="15.95" thickBot="1">
      <c r="D34" s="9">
        <v>2049</v>
      </c>
      <c r="E34" s="23">
        <v>389</v>
      </c>
      <c r="F34" s="23">
        <v>5289</v>
      </c>
      <c r="G34" s="23">
        <v>117116</v>
      </c>
    </row>
    <row r="35" spans="4:7" ht="15.95" thickBot="1">
      <c r="D35" s="8">
        <v>2050</v>
      </c>
      <c r="E35" s="22">
        <v>394</v>
      </c>
      <c r="F35" s="22">
        <v>5410</v>
      </c>
      <c r="G35" s="22">
        <v>118919</v>
      </c>
    </row>
    <row r="36" spans="4:7" ht="15.95" thickBot="1">
      <c r="D36" s="9">
        <v>2051</v>
      </c>
      <c r="E36" s="23">
        <v>399</v>
      </c>
      <c r="F36" s="23">
        <v>5524</v>
      </c>
      <c r="G36" s="23">
        <v>120610</v>
      </c>
    </row>
    <row r="37" spans="4:7" ht="15.95" thickBot="1">
      <c r="D37" s="8">
        <v>2052</v>
      </c>
      <c r="E37" s="22">
        <v>403</v>
      </c>
      <c r="F37" s="22">
        <v>5638</v>
      </c>
      <c r="G37" s="22">
        <v>122302</v>
      </c>
    </row>
    <row r="38" spans="4:7" ht="15.95" thickBot="1">
      <c r="D38" s="9">
        <v>2053</v>
      </c>
      <c r="E38" s="23">
        <v>408</v>
      </c>
      <c r="F38" s="23">
        <v>5751</v>
      </c>
      <c r="G38" s="23">
        <v>123994</v>
      </c>
    </row>
    <row r="39" spans="4:7" ht="15.95" thickBot="1">
      <c r="D39" s="8">
        <v>2054</v>
      </c>
      <c r="E39" s="22">
        <v>413</v>
      </c>
      <c r="F39" s="22">
        <v>5864</v>
      </c>
      <c r="G39" s="22">
        <v>125686</v>
      </c>
    </row>
    <row r="40" spans="4:7" ht="15.95" thickBot="1">
      <c r="D40" s="9">
        <v>2055</v>
      </c>
      <c r="E40" s="23">
        <v>417</v>
      </c>
      <c r="F40" s="23">
        <v>5978</v>
      </c>
      <c r="G40" s="23">
        <v>127379</v>
      </c>
    </row>
    <row r="41" spans="4:7" ht="15.95" thickBot="1">
      <c r="D41" s="8">
        <v>2056</v>
      </c>
      <c r="E41" s="22">
        <v>422</v>
      </c>
      <c r="F41" s="22">
        <v>6091</v>
      </c>
      <c r="G41" s="22">
        <v>129071</v>
      </c>
    </row>
    <row r="42" spans="4:7" ht="15.95" thickBot="1">
      <c r="D42" s="9">
        <v>2057</v>
      </c>
      <c r="E42" s="23">
        <v>427</v>
      </c>
      <c r="F42" s="23">
        <v>6204</v>
      </c>
      <c r="G42" s="23">
        <v>130762</v>
      </c>
    </row>
    <row r="43" spans="4:7" ht="15.95" thickBot="1">
      <c r="D43" s="8">
        <v>2058</v>
      </c>
      <c r="E43" s="22">
        <v>432</v>
      </c>
      <c r="F43" s="22">
        <v>6318</v>
      </c>
      <c r="G43" s="22">
        <v>132454</v>
      </c>
    </row>
    <row r="44" spans="4:7" ht="15.95" thickBot="1">
      <c r="D44" s="9">
        <v>2059</v>
      </c>
      <c r="E44" s="23">
        <v>436</v>
      </c>
      <c r="F44" s="23">
        <v>6431</v>
      </c>
      <c r="G44" s="23">
        <v>134146</v>
      </c>
    </row>
    <row r="45" spans="4:7" ht="15.95" thickBot="1">
      <c r="D45" s="8">
        <v>2060</v>
      </c>
      <c r="E45" s="22">
        <v>441</v>
      </c>
      <c r="F45" s="22">
        <v>6545</v>
      </c>
      <c r="G45" s="22">
        <v>135838</v>
      </c>
    </row>
    <row r="46" spans="4:7" ht="15.95" thickBot="1">
      <c r="D46" s="9">
        <v>2061</v>
      </c>
      <c r="E46" s="23">
        <v>445</v>
      </c>
      <c r="F46" s="23">
        <v>6648</v>
      </c>
      <c r="G46" s="23">
        <v>137319</v>
      </c>
    </row>
    <row r="47" spans="4:7" ht="15.95" thickBot="1">
      <c r="D47" s="8">
        <v>2062</v>
      </c>
      <c r="E47" s="22">
        <v>449</v>
      </c>
      <c r="F47" s="22">
        <v>6752</v>
      </c>
      <c r="G47" s="22">
        <v>138798</v>
      </c>
    </row>
    <row r="48" spans="4:7" ht="15.95" thickBot="1">
      <c r="D48" s="9">
        <v>2063</v>
      </c>
      <c r="E48" s="23">
        <v>453</v>
      </c>
      <c r="F48" s="23">
        <v>6855</v>
      </c>
      <c r="G48" s="23">
        <v>140279</v>
      </c>
    </row>
    <row r="49" spans="4:7" ht="15.95" thickBot="1">
      <c r="D49" s="8">
        <v>2064</v>
      </c>
      <c r="E49" s="22">
        <v>457</v>
      </c>
      <c r="F49" s="22">
        <v>6959</v>
      </c>
      <c r="G49" s="22">
        <v>141758</v>
      </c>
    </row>
    <row r="50" spans="4:7" ht="15.95" thickBot="1">
      <c r="D50" s="9">
        <v>2065</v>
      </c>
      <c r="E50" s="23">
        <v>460</v>
      </c>
      <c r="F50" s="23">
        <v>7063</v>
      </c>
      <c r="G50" s="23">
        <v>143239</v>
      </c>
    </row>
    <row r="51" spans="4:7" ht="15.95" thickBot="1">
      <c r="D51" s="8">
        <v>2066</v>
      </c>
      <c r="E51" s="22">
        <v>464</v>
      </c>
      <c r="F51" s="22">
        <v>7166</v>
      </c>
      <c r="G51" s="22">
        <v>144719</v>
      </c>
    </row>
    <row r="52" spans="4:7" ht="15.95" thickBot="1">
      <c r="D52" s="9">
        <v>2067</v>
      </c>
      <c r="E52" s="23">
        <v>468</v>
      </c>
      <c r="F52" s="23">
        <v>7270</v>
      </c>
      <c r="G52" s="23">
        <v>146199</v>
      </c>
    </row>
    <row r="53" spans="4:7" ht="15.95" thickBot="1">
      <c r="D53" s="8">
        <v>2068</v>
      </c>
      <c r="E53" s="22">
        <v>472</v>
      </c>
      <c r="F53" s="22">
        <v>7372</v>
      </c>
      <c r="G53" s="22">
        <v>147679</v>
      </c>
    </row>
    <row r="54" spans="4:7" ht="15.95" thickBot="1">
      <c r="D54" s="9">
        <v>2069</v>
      </c>
      <c r="E54" s="23">
        <v>476</v>
      </c>
      <c r="F54" s="23">
        <v>7476</v>
      </c>
      <c r="G54" s="23">
        <v>149160</v>
      </c>
    </row>
    <row r="55" spans="4:7" ht="15.95" thickBot="1">
      <c r="D55" s="8">
        <v>2070</v>
      </c>
      <c r="E55" s="22">
        <v>480</v>
      </c>
      <c r="F55" s="22">
        <v>7579</v>
      </c>
      <c r="G55" s="22">
        <v>150639</v>
      </c>
    </row>
    <row r="56" spans="4:7" ht="15.95" thickBot="1">
      <c r="D56" s="9">
        <v>2071</v>
      </c>
      <c r="E56" s="23">
        <v>483</v>
      </c>
      <c r="F56" s="23">
        <v>7689</v>
      </c>
      <c r="G56" s="23">
        <v>152206</v>
      </c>
    </row>
    <row r="57" spans="4:7" ht="15.95" thickBot="1">
      <c r="D57" s="8">
        <v>2072</v>
      </c>
      <c r="E57" s="22">
        <v>488</v>
      </c>
      <c r="F57" s="22">
        <v>7799</v>
      </c>
      <c r="G57" s="22">
        <v>153772</v>
      </c>
    </row>
    <row r="58" spans="4:7" ht="15.95" thickBot="1">
      <c r="D58" s="9">
        <v>2073</v>
      </c>
      <c r="E58" s="23">
        <v>492</v>
      </c>
      <c r="F58" s="23">
        <v>7908</v>
      </c>
      <c r="G58" s="23">
        <v>155339</v>
      </c>
    </row>
    <row r="59" spans="4:7" ht="15.95" thickBot="1">
      <c r="D59" s="8">
        <v>2074</v>
      </c>
      <c r="E59" s="22">
        <v>496</v>
      </c>
      <c r="F59" s="22">
        <v>8018</v>
      </c>
      <c r="G59" s="22">
        <v>156905</v>
      </c>
    </row>
    <row r="60" spans="4:7" ht="15.95" thickBot="1">
      <c r="D60" s="9">
        <v>2075</v>
      </c>
      <c r="E60" s="23">
        <v>500</v>
      </c>
      <c r="F60" s="23">
        <v>8126</v>
      </c>
      <c r="G60" s="23">
        <v>158470</v>
      </c>
    </row>
    <row r="61" spans="4:7" ht="15.95" thickBot="1">
      <c r="D61" s="8">
        <v>2076</v>
      </c>
      <c r="E61" s="22">
        <v>504</v>
      </c>
      <c r="F61" s="22">
        <v>8236</v>
      </c>
      <c r="G61" s="22">
        <v>160037</v>
      </c>
    </row>
    <row r="62" spans="4:7" ht="15.95" thickBot="1">
      <c r="D62" s="9">
        <v>2077</v>
      </c>
      <c r="E62" s="23">
        <v>509</v>
      </c>
      <c r="F62" s="23">
        <v>8346</v>
      </c>
      <c r="G62" s="23">
        <v>161603</v>
      </c>
    </row>
    <row r="63" spans="4:7" ht="15.95" thickBot="1">
      <c r="D63" s="8">
        <v>2078</v>
      </c>
      <c r="E63" s="22">
        <v>513</v>
      </c>
      <c r="F63" s="22">
        <v>8455</v>
      </c>
      <c r="G63" s="22">
        <v>163170</v>
      </c>
    </row>
    <row r="64" spans="4:7" ht="15.95" thickBot="1">
      <c r="D64" s="9">
        <v>2079</v>
      </c>
      <c r="E64" s="23">
        <v>517</v>
      </c>
      <c r="F64" s="23">
        <v>8565</v>
      </c>
      <c r="G64" s="23">
        <v>164736</v>
      </c>
    </row>
    <row r="65" spans="4:7" ht="15.6">
      <c r="D65" s="8">
        <v>2080</v>
      </c>
      <c r="E65" s="22">
        <v>520</v>
      </c>
      <c r="F65" s="22">
        <v>8674</v>
      </c>
      <c r="G65" s="22">
        <v>166301</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BD1F8-23E8-4119-81EF-DAA858A5B6C0}">
  <sheetPr>
    <tabColor theme="6" tint="0.59999389629810485"/>
  </sheetPr>
  <dimension ref="E3:J18"/>
  <sheetViews>
    <sheetView topLeftCell="B1" workbookViewId="0">
      <selection activeCell="F29" sqref="F29"/>
    </sheetView>
  </sheetViews>
  <sheetFormatPr defaultRowHeight="14.45"/>
  <cols>
    <col min="6" max="6" width="9.42578125" bestFit="1" customWidth="1"/>
    <col min="7" max="7" width="10.42578125" bestFit="1" customWidth="1"/>
    <col min="8" max="8" width="13.5703125" customWidth="1"/>
    <col min="9" max="9" width="13.42578125" customWidth="1"/>
  </cols>
  <sheetData>
    <row r="3" spans="5:10" ht="57.95">
      <c r="E3" s="16" t="s">
        <v>375</v>
      </c>
      <c r="F3" s="16" t="s">
        <v>413</v>
      </c>
      <c r="G3" s="16" t="s">
        <v>414</v>
      </c>
      <c r="H3" s="17" t="s">
        <v>415</v>
      </c>
      <c r="I3" s="17" t="s">
        <v>416</v>
      </c>
      <c r="J3" t="s">
        <v>417</v>
      </c>
    </row>
    <row r="4" spans="5:10">
      <c r="E4" s="13">
        <v>2026</v>
      </c>
      <c r="F4" s="4">
        <v>3000</v>
      </c>
      <c r="G4" s="4">
        <v>11750</v>
      </c>
      <c r="H4" s="1">
        <f>F4/G4</f>
        <v>0.25531914893617019</v>
      </c>
      <c r="I4">
        <v>0.44800000000000001</v>
      </c>
      <c r="J4" t="s">
        <v>418</v>
      </c>
    </row>
    <row r="5" spans="5:10">
      <c r="E5" s="13">
        <f>E4+1</f>
        <v>2027</v>
      </c>
      <c r="F5" s="4">
        <v>2750</v>
      </c>
      <c r="G5" s="4">
        <v>11800</v>
      </c>
      <c r="H5" s="1">
        <f t="shared" ref="H5:H18" si="0">F5/G5</f>
        <v>0.23305084745762711</v>
      </c>
      <c r="I5">
        <v>0.35499999999999998</v>
      </c>
    </row>
    <row r="6" spans="5:10">
      <c r="E6" s="13">
        <f t="shared" ref="E6:E18" si="1">E5+1</f>
        <v>2028</v>
      </c>
      <c r="F6" s="4">
        <v>2000</v>
      </c>
      <c r="G6" s="4">
        <v>11800</v>
      </c>
      <c r="H6" s="1">
        <f t="shared" si="0"/>
        <v>0.16949152542372881</v>
      </c>
      <c r="I6">
        <v>0.43099999999999999</v>
      </c>
    </row>
    <row r="7" spans="5:10">
      <c r="E7" s="13">
        <f t="shared" si="1"/>
        <v>2029</v>
      </c>
      <c r="F7" s="4">
        <v>1000</v>
      </c>
      <c r="G7" s="4">
        <v>11750</v>
      </c>
      <c r="H7" s="1">
        <f t="shared" si="0"/>
        <v>8.5106382978723402E-2</v>
      </c>
      <c r="I7">
        <v>0.39300000000000002</v>
      </c>
    </row>
    <row r="8" spans="5:10">
      <c r="E8" s="13">
        <f t="shared" si="1"/>
        <v>2030</v>
      </c>
      <c r="F8" s="4">
        <v>475</v>
      </c>
      <c r="G8" s="4">
        <v>11750</v>
      </c>
      <c r="H8" s="1">
        <f t="shared" si="0"/>
        <v>4.042553191489362E-2</v>
      </c>
      <c r="I8">
        <v>8.5999999999999993E-2</v>
      </c>
    </row>
    <row r="9" spans="5:10">
      <c r="E9" s="13">
        <f t="shared" si="1"/>
        <v>2031</v>
      </c>
      <c r="F9" s="4">
        <v>475</v>
      </c>
      <c r="G9" s="4">
        <v>11800</v>
      </c>
      <c r="H9" s="1">
        <f t="shared" si="0"/>
        <v>4.025423728813559E-2</v>
      </c>
      <c r="I9">
        <v>0.159</v>
      </c>
    </row>
    <row r="10" spans="5:10">
      <c r="E10" s="13">
        <f t="shared" si="1"/>
        <v>2032</v>
      </c>
      <c r="F10" s="4">
        <v>485</v>
      </c>
      <c r="G10" s="4">
        <v>11900</v>
      </c>
      <c r="H10" s="1">
        <f t="shared" si="0"/>
        <v>4.0756302521008404E-2</v>
      </c>
      <c r="I10">
        <v>0.32</v>
      </c>
    </row>
    <row r="11" spans="5:10">
      <c r="E11" s="13">
        <f t="shared" si="1"/>
        <v>2033</v>
      </c>
      <c r="F11" s="4">
        <v>485</v>
      </c>
      <c r="G11" s="4">
        <v>11900</v>
      </c>
      <c r="H11" s="1">
        <f t="shared" si="0"/>
        <v>4.0756302521008404E-2</v>
      </c>
      <c r="I11">
        <v>0.36</v>
      </c>
    </row>
    <row r="12" spans="5:10">
      <c r="E12" s="13">
        <f t="shared" si="1"/>
        <v>2034</v>
      </c>
      <c r="F12" s="4">
        <v>500</v>
      </c>
      <c r="G12" s="4">
        <v>12000</v>
      </c>
      <c r="H12" s="1">
        <f t="shared" si="0"/>
        <v>4.1666666666666664E-2</v>
      </c>
      <c r="I12">
        <v>0.36899999999999999</v>
      </c>
    </row>
    <row r="13" spans="5:10">
      <c r="E13" s="13">
        <f t="shared" si="1"/>
        <v>2035</v>
      </c>
      <c r="F13" s="4">
        <v>250</v>
      </c>
      <c r="G13" s="4">
        <v>12250</v>
      </c>
      <c r="H13" s="1">
        <f t="shared" si="0"/>
        <v>2.0408163265306121E-2</v>
      </c>
      <c r="I13">
        <v>0.26900000000000002</v>
      </c>
    </row>
    <row r="14" spans="5:10">
      <c r="E14" s="13">
        <f t="shared" si="1"/>
        <v>2036</v>
      </c>
      <c r="F14" s="4">
        <v>250</v>
      </c>
      <c r="G14" s="4">
        <v>12500</v>
      </c>
      <c r="H14" s="1">
        <f t="shared" si="0"/>
        <v>0.02</v>
      </c>
      <c r="I14">
        <v>0.35499999999999998</v>
      </c>
    </row>
    <row r="15" spans="5:10">
      <c r="E15" s="13">
        <f t="shared" si="1"/>
        <v>2037</v>
      </c>
      <c r="F15" s="4">
        <v>250</v>
      </c>
      <c r="G15" s="4">
        <v>12750</v>
      </c>
      <c r="H15" s="1">
        <f t="shared" si="0"/>
        <v>1.9607843137254902E-2</v>
      </c>
      <c r="I15">
        <v>0.28799999999999998</v>
      </c>
    </row>
    <row r="16" spans="5:10">
      <c r="E16" s="13">
        <f t="shared" si="1"/>
        <v>2038</v>
      </c>
      <c r="F16" s="4">
        <v>250</v>
      </c>
      <c r="G16" s="4">
        <v>13000</v>
      </c>
      <c r="H16" s="1">
        <f t="shared" si="0"/>
        <v>1.9230769230769232E-2</v>
      </c>
      <c r="I16">
        <v>0.23899999999999999</v>
      </c>
    </row>
    <row r="17" spans="5:9">
      <c r="E17" s="13">
        <f t="shared" si="1"/>
        <v>2039</v>
      </c>
      <c r="F17" s="4">
        <v>250</v>
      </c>
      <c r="G17" s="4">
        <v>13250</v>
      </c>
      <c r="H17" s="1">
        <f t="shared" si="0"/>
        <v>1.8867924528301886E-2</v>
      </c>
      <c r="I17">
        <v>0.218</v>
      </c>
    </row>
    <row r="18" spans="5:9">
      <c r="E18" s="13">
        <f t="shared" si="1"/>
        <v>2040</v>
      </c>
      <c r="F18" s="4">
        <v>250</v>
      </c>
      <c r="G18" s="4">
        <v>13500</v>
      </c>
      <c r="H18" s="1">
        <f t="shared" si="0"/>
        <v>1.8518518518518517E-2</v>
      </c>
      <c r="I18">
        <v>0.221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EA7A7-B185-4054-AE0B-91AFCB20AB04}">
  <sheetPr>
    <tabColor theme="6" tint="0.59999389629810485"/>
  </sheetPr>
  <dimension ref="C4:AB74"/>
  <sheetViews>
    <sheetView topLeftCell="A24" zoomScale="82" zoomScaleNormal="90" workbookViewId="0">
      <selection activeCell="P50" sqref="P50"/>
    </sheetView>
  </sheetViews>
  <sheetFormatPr defaultRowHeight="14.45"/>
  <cols>
    <col min="3" max="3" width="20.42578125" customWidth="1"/>
    <col min="4" max="4" width="10.5703125" customWidth="1"/>
    <col min="5" max="5" width="10.42578125" bestFit="1" customWidth="1"/>
    <col min="6" max="6" width="10.140625" customWidth="1"/>
    <col min="7" max="7" width="12.5703125" customWidth="1"/>
    <col min="8" max="8" width="9" customWidth="1"/>
    <col min="9" max="9" width="10.140625" customWidth="1"/>
    <col min="10" max="10" width="9.42578125" customWidth="1"/>
    <col min="11" max="11" width="14.5703125" customWidth="1"/>
    <col min="13" max="13" width="9.5703125" customWidth="1"/>
    <col min="14" max="14" width="12.42578125" customWidth="1"/>
    <col min="15" max="15" width="9.85546875" customWidth="1"/>
    <col min="16" max="16" width="8.85546875" customWidth="1"/>
    <col min="17" max="17" width="8.42578125" customWidth="1"/>
    <col min="18" max="18" width="13.85546875" customWidth="1"/>
    <col min="19" max="19" width="13.42578125" customWidth="1"/>
    <col min="23" max="23" width="12.5703125" bestFit="1" customWidth="1"/>
    <col min="24" max="24" width="14.42578125" bestFit="1" customWidth="1"/>
    <col min="26" max="26" width="11.5703125" customWidth="1"/>
    <col min="27" max="27" width="13.42578125" customWidth="1"/>
    <col min="28" max="28" width="11" bestFit="1" customWidth="1"/>
  </cols>
  <sheetData>
    <row r="4" spans="4:9">
      <c r="D4" t="s">
        <v>268</v>
      </c>
      <c r="E4" s="10">
        <v>1.36</v>
      </c>
      <c r="F4" t="s">
        <v>269</v>
      </c>
    </row>
    <row r="5" spans="4:9">
      <c r="D5" t="s">
        <v>270</v>
      </c>
      <c r="E5" s="11">
        <v>3973</v>
      </c>
      <c r="F5" t="s">
        <v>271</v>
      </c>
      <c r="H5" s="25" t="s">
        <v>272</v>
      </c>
    </row>
    <row r="6" spans="4:9">
      <c r="E6" s="4">
        <f>E5/E4</f>
        <v>2921.3235294117644</v>
      </c>
      <c r="F6" t="s">
        <v>273</v>
      </c>
    </row>
    <row r="7" spans="4:9">
      <c r="E7" s="5">
        <f>E6/3.7854</f>
        <v>771.73443477882506</v>
      </c>
      <c r="F7" t="s">
        <v>274</v>
      </c>
    </row>
    <row r="9" spans="4:9">
      <c r="D9" t="s">
        <v>275</v>
      </c>
      <c r="E9" s="10">
        <v>1.65</v>
      </c>
      <c r="F9" t="s">
        <v>276</v>
      </c>
      <c r="G9" t="s">
        <v>277</v>
      </c>
    </row>
    <row r="10" spans="4:9">
      <c r="G10" t="s">
        <v>278</v>
      </c>
    </row>
    <row r="12" spans="4:9">
      <c r="D12" t="s">
        <v>279</v>
      </c>
      <c r="E12" s="16" t="s">
        <v>280</v>
      </c>
    </row>
    <row r="13" spans="4:9">
      <c r="E13" s="13">
        <v>2023</v>
      </c>
      <c r="F13" s="11">
        <v>65</v>
      </c>
      <c r="G13" t="s">
        <v>281</v>
      </c>
      <c r="I13" s="25" t="s">
        <v>282</v>
      </c>
    </row>
    <row r="14" spans="4:9">
      <c r="E14" s="13">
        <f>E13+1</f>
        <v>2024</v>
      </c>
      <c r="F14" s="12">
        <f t="shared" ref="F14:F20" si="0">F13+15</f>
        <v>80</v>
      </c>
    </row>
    <row r="15" spans="4:9">
      <c r="E15" s="13">
        <f t="shared" ref="E15:E20" si="1">E14+1</f>
        <v>2025</v>
      </c>
      <c r="F15" s="12">
        <f t="shared" si="0"/>
        <v>95</v>
      </c>
    </row>
    <row r="16" spans="4:9">
      <c r="E16" s="13">
        <f t="shared" si="1"/>
        <v>2026</v>
      </c>
      <c r="F16" s="12">
        <f t="shared" si="0"/>
        <v>110</v>
      </c>
    </row>
    <row r="17" spans="3:28">
      <c r="E17" s="13">
        <f t="shared" si="1"/>
        <v>2027</v>
      </c>
      <c r="F17" s="12">
        <f t="shared" si="0"/>
        <v>125</v>
      </c>
    </row>
    <row r="18" spans="3:28">
      <c r="E18" s="13">
        <f t="shared" si="1"/>
        <v>2028</v>
      </c>
      <c r="F18" s="12">
        <f t="shared" si="0"/>
        <v>140</v>
      </c>
    </row>
    <row r="19" spans="3:28">
      <c r="E19" s="13">
        <f t="shared" si="1"/>
        <v>2029</v>
      </c>
      <c r="F19" s="12">
        <f t="shared" si="0"/>
        <v>155</v>
      </c>
    </row>
    <row r="20" spans="3:28">
      <c r="E20" s="13">
        <f t="shared" si="1"/>
        <v>2030</v>
      </c>
      <c r="F20" s="12">
        <f t="shared" si="0"/>
        <v>170</v>
      </c>
    </row>
    <row r="22" spans="3:28">
      <c r="D22" t="s">
        <v>283</v>
      </c>
      <c r="E22">
        <v>10.19</v>
      </c>
      <c r="F22" t="s">
        <v>284</v>
      </c>
    </row>
    <row r="23" spans="3:28">
      <c r="E23" s="2">
        <f>E22/3.7854</f>
        <v>2.6919215934907803</v>
      </c>
      <c r="F23" t="s">
        <v>285</v>
      </c>
    </row>
    <row r="25" spans="3:28">
      <c r="D25" t="s">
        <v>286</v>
      </c>
      <c r="F25" s="20">
        <v>2E-3</v>
      </c>
      <c r="G25" t="s">
        <v>287</v>
      </c>
      <c r="AA25" t="s">
        <v>288</v>
      </c>
      <c r="AB25" t="s">
        <v>289</v>
      </c>
    </row>
    <row r="26" spans="3:28">
      <c r="Z26" t="s">
        <v>549</v>
      </c>
      <c r="AA26" s="6">
        <f>'Levelized NEIs'!D10</f>
        <v>8000</v>
      </c>
      <c r="AB26" s="6">
        <v>2000</v>
      </c>
    </row>
    <row r="27" spans="3:28">
      <c r="Z27" t="s">
        <v>550</v>
      </c>
      <c r="AA27" s="6">
        <f>'Levelized NEIs'!D9</f>
        <v>12000</v>
      </c>
      <c r="AB27" s="6">
        <v>1500</v>
      </c>
    </row>
    <row r="28" spans="3:28">
      <c r="C28" s="209" t="s">
        <v>290</v>
      </c>
      <c r="D28" s="209"/>
      <c r="E28" s="209"/>
      <c r="F28" s="209"/>
      <c r="G28" s="209"/>
      <c r="H28" s="209"/>
      <c r="I28" s="209"/>
      <c r="J28" s="209"/>
      <c r="K28" s="209"/>
      <c r="L28" s="210" t="s">
        <v>42</v>
      </c>
      <c r="M28" s="210"/>
      <c r="N28" s="210"/>
      <c r="O28" s="210"/>
      <c r="P28" s="210"/>
      <c r="Q28" s="210"/>
      <c r="R28" s="210"/>
      <c r="S28" s="37" t="s">
        <v>292</v>
      </c>
      <c r="Z28" t="s">
        <v>394</v>
      </c>
      <c r="AA28" s="6">
        <f>SUM(AA26:AA27)</f>
        <v>20000</v>
      </c>
      <c r="AB28" s="6">
        <f>SUM(AB26:AB27)</f>
        <v>3500</v>
      </c>
    </row>
    <row r="29" spans="3:28" ht="72.599999999999994">
      <c r="C29" s="15" t="s">
        <v>293</v>
      </c>
      <c r="D29" s="14" t="s">
        <v>294</v>
      </c>
      <c r="E29" s="16" t="s">
        <v>280</v>
      </c>
      <c r="F29" s="15" t="s">
        <v>295</v>
      </c>
      <c r="G29" s="15" t="s">
        <v>296</v>
      </c>
      <c r="H29" s="15" t="s">
        <v>297</v>
      </c>
      <c r="I29" s="15" t="s">
        <v>298</v>
      </c>
      <c r="J29" s="15" t="s">
        <v>299</v>
      </c>
      <c r="K29" s="15" t="s">
        <v>300</v>
      </c>
      <c r="L29" s="15" t="s">
        <v>301</v>
      </c>
      <c r="M29" s="15" t="s">
        <v>302</v>
      </c>
      <c r="N29" s="15" t="s">
        <v>303</v>
      </c>
      <c r="O29" s="15" t="s">
        <v>304</v>
      </c>
      <c r="P29" s="15" t="s">
        <v>305</v>
      </c>
      <c r="Q29" s="15" t="s">
        <v>306</v>
      </c>
      <c r="R29" s="15" t="s">
        <v>307</v>
      </c>
      <c r="S29" s="15" t="s">
        <v>308</v>
      </c>
      <c r="W29" s="15" t="s">
        <v>309</v>
      </c>
      <c r="X29" s="15" t="s">
        <v>306</v>
      </c>
      <c r="AA29" s="15" t="s">
        <v>310</v>
      </c>
      <c r="AB29" s="15" t="s">
        <v>310</v>
      </c>
    </row>
    <row r="30" spans="3:28">
      <c r="E30" s="13">
        <v>2023</v>
      </c>
      <c r="F30" s="10">
        <f t="shared" ref="F30:F37" si="2">F13/(1000/$E$23)</f>
        <v>0.17497490357690071</v>
      </c>
      <c r="G30" s="10">
        <v>1.65</v>
      </c>
      <c r="H30" s="19">
        <f>G30-F30</f>
        <v>1.4750250964230993</v>
      </c>
      <c r="K30" s="11"/>
    </row>
    <row r="31" spans="3:28">
      <c r="C31" s="24">
        <f t="shared" ref="C31:C47" si="3">(F31/F30)-1</f>
        <v>0.23076923076923062</v>
      </c>
      <c r="E31" s="13">
        <f>E30+1</f>
        <v>2024</v>
      </c>
      <c r="F31" s="10">
        <f>F14/(1000/$E$23)</f>
        <v>0.2153537274792624</v>
      </c>
      <c r="G31" s="19">
        <f t="shared" ref="G31:G47" si="4">G30+(G30*$F$25)+(F31-F30)</f>
        <v>1.6936788239023617</v>
      </c>
      <c r="H31" s="19">
        <f>G31-F31</f>
        <v>1.4783250964230992</v>
      </c>
    </row>
    <row r="32" spans="3:28">
      <c r="C32" s="24">
        <f t="shared" si="3"/>
        <v>0.1875</v>
      </c>
      <c r="E32" s="13">
        <f t="shared" ref="E32:E47" si="5">E31+1</f>
        <v>2025</v>
      </c>
      <c r="F32" s="10">
        <f>F15/(1000/$E$23)</f>
        <v>0.2557325513816241</v>
      </c>
      <c r="G32" s="19">
        <f t="shared" si="4"/>
        <v>1.7374450054525281</v>
      </c>
      <c r="H32" s="19">
        <f t="shared" ref="H32:H47" si="6">G32-F32</f>
        <v>1.4817124540709039</v>
      </c>
    </row>
    <row r="33" spans="3:28">
      <c r="C33" s="24">
        <f t="shared" si="3"/>
        <v>0.15789473684210531</v>
      </c>
      <c r="D33">
        <v>1</v>
      </c>
      <c r="E33" s="13">
        <f t="shared" si="5"/>
        <v>2026</v>
      </c>
      <c r="F33" s="10">
        <f t="shared" si="2"/>
        <v>0.29611137528398579</v>
      </c>
      <c r="G33" s="19">
        <f t="shared" si="4"/>
        <v>1.7812987193657948</v>
      </c>
      <c r="H33" s="19">
        <f t="shared" si="6"/>
        <v>1.4851873440818091</v>
      </c>
      <c r="I33" s="4">
        <f>'GHG Impact Summary (2)'!D4*3.7854</f>
        <v>2186.5126353790615</v>
      </c>
      <c r="J33" s="2">
        <f>1/(1+0.02)^D33</f>
        <v>0.98039215686274506</v>
      </c>
      <c r="K33" s="11">
        <f>H33*I33*J33</f>
        <v>3183.7067585685736</v>
      </c>
      <c r="L33" s="11">
        <v>74</v>
      </c>
      <c r="M33" s="4">
        <f>'GHG Impact Summary (2)'!F4</f>
        <v>6.3024618991793675</v>
      </c>
      <c r="N33" s="5">
        <f>J33*L33*M33</f>
        <v>457.23743190124821</v>
      </c>
      <c r="O33" s="5">
        <f>(18000/3412)*'Residential Heat Pump Measu (2)'!$D$15</f>
        <v>5.2754982415005864</v>
      </c>
      <c r="P33" s="11">
        <v>67</v>
      </c>
      <c r="Q33" s="11">
        <v>48</v>
      </c>
      <c r="R33" s="5">
        <f t="shared" ref="R33:R47" si="7">(J33*O33*P33)+(J33*O33*Q33)</f>
        <v>594.78656644369357</v>
      </c>
      <c r="S33" s="12">
        <f>K33-(N33+R33)</f>
        <v>2131.6827602236317</v>
      </c>
      <c r="W33" s="11">
        <f>J33*O33*P33</f>
        <v>346.52782566719537</v>
      </c>
      <c r="X33" s="11">
        <f>Q33*J33*O33</f>
        <v>248.25874077649817</v>
      </c>
      <c r="AA33" s="6">
        <f>AA28*'Residential Heat Pump Measu (2)'!D15*J33</f>
        <v>19607.843137254902</v>
      </c>
      <c r="AB33" s="6">
        <f>'Residential Heat Pump Measu (2)'!D15*AB28*J33</f>
        <v>3431.3725490196075</v>
      </c>
    </row>
    <row r="34" spans="3:28">
      <c r="C34" s="24">
        <f t="shared" si="3"/>
        <v>0.13636363636363646</v>
      </c>
      <c r="D34">
        <f>D33+1</f>
        <v>2</v>
      </c>
      <c r="E34" s="13">
        <f t="shared" si="5"/>
        <v>2027</v>
      </c>
      <c r="F34" s="10">
        <f t="shared" si="2"/>
        <v>0.33649019918634754</v>
      </c>
      <c r="G34" s="19">
        <f t="shared" si="4"/>
        <v>1.8252401407068881</v>
      </c>
      <c r="H34" s="19">
        <f t="shared" si="6"/>
        <v>1.4887499415205405</v>
      </c>
      <c r="I34" s="4">
        <f>'GHG Impact Summary (2)'!D5*3.7854</f>
        <v>2186.5126353790615</v>
      </c>
      <c r="J34" s="2">
        <f t="shared" ref="J34:J47" si="8">1/(1+0.02)^D34</f>
        <v>0.96116878123798544</v>
      </c>
      <c r="K34" s="11">
        <f t="shared" ref="K34:K47" si="9">H34*I34*J34</f>
        <v>3128.7683180070176</v>
      </c>
      <c r="L34" s="11">
        <v>75</v>
      </c>
      <c r="M34" s="4">
        <f>'GHG Impact Summary (2)'!F5</f>
        <v>6.3024618991793675</v>
      </c>
      <c r="N34" s="5">
        <f t="shared" ref="N34:N47" si="10">J34*L34*M34</f>
        <v>454.3297216824804</v>
      </c>
      <c r="O34" s="5">
        <f>(18000/3412)*'Residential Heat Pump Measu (2)'!$D$15</f>
        <v>5.2754982415005864</v>
      </c>
      <c r="P34" s="11">
        <v>80</v>
      </c>
      <c r="Q34" s="11">
        <v>49</v>
      </c>
      <c r="R34" s="5">
        <f t="shared" si="7"/>
        <v>654.11310376160679</v>
      </c>
      <c r="S34" s="12">
        <f t="shared" ref="S34:S47" si="11">K34-(N34+R34)</f>
        <v>2020.3254925629303</v>
      </c>
      <c r="W34" s="11">
        <f t="shared" ref="W34:W47" si="12">J34*O34*P34</f>
        <v>405.65153721650034</v>
      </c>
      <c r="X34" s="11">
        <f t="shared" ref="X34:X47" si="13">Q34*J34*O34</f>
        <v>248.46156654510645</v>
      </c>
    </row>
    <row r="35" spans="3:28">
      <c r="C35" s="24">
        <f t="shared" si="3"/>
        <v>0.11999999999999988</v>
      </c>
      <c r="D35">
        <f t="shared" ref="D35:D47" si="14">D34+1</f>
        <v>3</v>
      </c>
      <c r="E35" s="13">
        <f t="shared" si="5"/>
        <v>2028</v>
      </c>
      <c r="F35" s="10">
        <f t="shared" si="2"/>
        <v>0.37686902308870923</v>
      </c>
      <c r="G35" s="19">
        <f t="shared" si="4"/>
        <v>1.8692694448906635</v>
      </c>
      <c r="H35" s="19">
        <f t="shared" si="6"/>
        <v>1.4924004218019542</v>
      </c>
      <c r="I35" s="4">
        <f>'GHG Impact Summary (2)'!D6*3.7854</f>
        <v>2186.5126353790615</v>
      </c>
      <c r="J35" s="2">
        <f t="shared" si="8"/>
        <v>0.94232233454704462</v>
      </c>
      <c r="K35" s="11">
        <f t="shared" si="9"/>
        <v>3074.9413680588673</v>
      </c>
      <c r="L35" s="11">
        <v>77</v>
      </c>
      <c r="M35" s="4">
        <f>'GHG Impact Summary (2)'!F6</f>
        <v>6.3024618991793675</v>
      </c>
      <c r="N35" s="5">
        <f t="shared" si="10"/>
        <v>457.29919698759466</v>
      </c>
      <c r="O35" s="5">
        <f>(18000/3412)*'Residential Heat Pump Measu (2)'!$D$15</f>
        <v>5.2754982415005864</v>
      </c>
      <c r="P35" s="11">
        <v>91</v>
      </c>
      <c r="Q35" s="11">
        <v>50</v>
      </c>
      <c r="R35" s="5">
        <f t="shared" si="7"/>
        <v>700.94199445498225</v>
      </c>
      <c r="S35" s="12">
        <f t="shared" si="11"/>
        <v>1916.7001766162903</v>
      </c>
      <c r="W35" s="11">
        <f t="shared" si="12"/>
        <v>452.38100351349919</v>
      </c>
      <c r="X35" s="11">
        <f t="shared" si="13"/>
        <v>248.56099094148306</v>
      </c>
    </row>
    <row r="36" spans="3:28">
      <c r="C36" s="24">
        <f t="shared" si="3"/>
        <v>0.10714285714285721</v>
      </c>
      <c r="D36">
        <f t="shared" si="14"/>
        <v>4</v>
      </c>
      <c r="E36" s="13">
        <f t="shared" si="5"/>
        <v>2029</v>
      </c>
      <c r="F36" s="10">
        <f t="shared" si="2"/>
        <v>0.41724784699107093</v>
      </c>
      <c r="G36" s="19">
        <f t="shared" si="4"/>
        <v>1.9133868076828064</v>
      </c>
      <c r="H36" s="19">
        <f t="shared" si="6"/>
        <v>1.4961389606917355</v>
      </c>
      <c r="I36" s="4">
        <f>'GHG Impact Summary (2)'!D7*3.7854</f>
        <v>2186.5126353790615</v>
      </c>
      <c r="J36" s="2">
        <f t="shared" si="8"/>
        <v>0.9238454260265142</v>
      </c>
      <c r="K36" s="11">
        <f t="shared" si="9"/>
        <v>3022.2002474828323</v>
      </c>
      <c r="L36" s="11">
        <v>78</v>
      </c>
      <c r="M36" s="4">
        <f>'GHG Impact Summary (2)'!F7</f>
        <v>6.3024618991793675</v>
      </c>
      <c r="N36" s="5">
        <f t="shared" si="10"/>
        <v>454.15504666453251</v>
      </c>
      <c r="O36" s="5">
        <f>(18000/3412)*'Residential Heat Pump Measu (2)'!$D$15</f>
        <v>5.2754982415005864</v>
      </c>
      <c r="P36" s="11">
        <v>102</v>
      </c>
      <c r="Q36" s="11">
        <v>51</v>
      </c>
      <c r="R36" s="5">
        <f t="shared" si="7"/>
        <v>745.68297282444905</v>
      </c>
      <c r="S36" s="12">
        <f t="shared" si="11"/>
        <v>1822.3622279938509</v>
      </c>
      <c r="W36" s="11">
        <f t="shared" si="12"/>
        <v>497.121981882966</v>
      </c>
      <c r="X36" s="11">
        <f t="shared" si="13"/>
        <v>248.560990941483</v>
      </c>
    </row>
    <row r="37" spans="3:28">
      <c r="C37" s="24">
        <f t="shared" si="3"/>
        <v>9.6774193548387011E-2</v>
      </c>
      <c r="D37">
        <f t="shared" si="14"/>
        <v>5</v>
      </c>
      <c r="E37" s="13">
        <f t="shared" si="5"/>
        <v>2030</v>
      </c>
      <c r="F37" s="10">
        <f t="shared" si="2"/>
        <v>0.45762667089343262</v>
      </c>
      <c r="G37" s="19">
        <f t="shared" si="4"/>
        <v>1.9575924052005338</v>
      </c>
      <c r="H37" s="19">
        <f t="shared" si="6"/>
        <v>1.4999657343071011</v>
      </c>
      <c r="I37" s="4">
        <f>'GHG Impact Summary (2)'!D8*3.7854</f>
        <v>2186.5126353790615</v>
      </c>
      <c r="J37" s="2">
        <f t="shared" si="8"/>
        <v>0.90573080982991594</v>
      </c>
      <c r="K37" s="11">
        <f t="shared" si="9"/>
        <v>2970.5199304185394</v>
      </c>
      <c r="L37" s="11">
        <v>80</v>
      </c>
      <c r="M37" s="4">
        <f>'GHG Impact Summary (2)'!F8</f>
        <v>6.3024618991793675</v>
      </c>
      <c r="N37" s="5">
        <f t="shared" si="10"/>
        <v>456.66671358927351</v>
      </c>
      <c r="O37" s="5">
        <f>(18000/3412)*'Residential Heat Pump Measu (2)'!$D$15</f>
        <v>5.2754982415005864</v>
      </c>
      <c r="P37" s="11">
        <v>112</v>
      </c>
      <c r="Q37" s="11">
        <v>52</v>
      </c>
      <c r="R37" s="5">
        <f t="shared" si="7"/>
        <v>783.62173230302233</v>
      </c>
      <c r="S37" s="12">
        <f t="shared" si="11"/>
        <v>1730.2314845262435</v>
      </c>
      <c r="W37" s="11">
        <f t="shared" si="12"/>
        <v>535.15630498742985</v>
      </c>
      <c r="X37" s="11">
        <f t="shared" si="13"/>
        <v>248.46542731559242</v>
      </c>
    </row>
    <row r="38" spans="3:28">
      <c r="C38" s="24">
        <f t="shared" si="3"/>
        <v>2.0000000000000018E-2</v>
      </c>
      <c r="D38">
        <f t="shared" si="14"/>
        <v>6</v>
      </c>
      <c r="E38" s="13">
        <f t="shared" si="5"/>
        <v>2031</v>
      </c>
      <c r="F38" s="19">
        <f>F37*1.02</f>
        <v>0.46677920431130127</v>
      </c>
      <c r="G38" s="19">
        <f t="shared" si="4"/>
        <v>1.9706601234288035</v>
      </c>
      <c r="H38" s="19">
        <f t="shared" si="6"/>
        <v>1.5038809191175022</v>
      </c>
      <c r="I38" s="4">
        <f>'GHG Impact Summary (2)'!D9*3.7854</f>
        <v>2186.5126353790615</v>
      </c>
      <c r="J38" s="2">
        <f t="shared" si="8"/>
        <v>0.88797138218619198</v>
      </c>
      <c r="K38" s="11">
        <f t="shared" si="9"/>
        <v>2919.8760103404297</v>
      </c>
      <c r="L38" s="11">
        <v>82</v>
      </c>
      <c r="M38" s="4">
        <f>'GHG Impact Summary (2)'!F9</f>
        <v>6.3024618991793675</v>
      </c>
      <c r="N38" s="5">
        <f t="shared" si="10"/>
        <v>458.9052759107895</v>
      </c>
      <c r="O38" s="5">
        <f>(18000/3412)*'Residential Heat Pump Measu (2)'!$D$15</f>
        <v>5.2754982415005864</v>
      </c>
      <c r="P38" s="11">
        <v>122</v>
      </c>
      <c r="Q38" s="11">
        <v>53</v>
      </c>
      <c r="R38" s="5">
        <f t="shared" si="7"/>
        <v>819.78600641456774</v>
      </c>
      <c r="S38" s="12">
        <f t="shared" si="11"/>
        <v>1641.1847280150726</v>
      </c>
      <c r="W38" s="11">
        <f t="shared" si="12"/>
        <v>571.50795875758433</v>
      </c>
      <c r="X38" s="11">
        <f t="shared" si="13"/>
        <v>248.27804765698335</v>
      </c>
    </row>
    <row r="39" spans="3:28">
      <c r="C39" s="24">
        <f t="shared" si="3"/>
        <v>2.0000000000000018E-2</v>
      </c>
      <c r="D39">
        <f t="shared" si="14"/>
        <v>7</v>
      </c>
      <c r="E39" s="13">
        <f t="shared" si="5"/>
        <v>2032</v>
      </c>
      <c r="F39" s="19">
        <f t="shared" ref="F39:F47" si="15">F38*1.02</f>
        <v>0.4761147883975273</v>
      </c>
      <c r="G39" s="19">
        <f t="shared" si="4"/>
        <v>1.9839370277618871</v>
      </c>
      <c r="H39" s="19">
        <f t="shared" si="6"/>
        <v>1.5078222393643599</v>
      </c>
      <c r="I39" s="4">
        <f>'GHG Impact Summary (2)'!D10*3.7854</f>
        <v>2186.5126353790615</v>
      </c>
      <c r="J39" s="2">
        <f t="shared" si="8"/>
        <v>0.87056017861391388</v>
      </c>
      <c r="K39" s="11">
        <f t="shared" si="9"/>
        <v>2870.1258064989938</v>
      </c>
      <c r="L39" s="11">
        <v>83</v>
      </c>
      <c r="M39" s="4">
        <f>'GHG Impact Summary (2)'!F10</f>
        <v>6.3024618991793675</v>
      </c>
      <c r="N39" s="5">
        <f t="shared" si="10"/>
        <v>455.39380560252914</v>
      </c>
      <c r="O39" s="5">
        <f>(18000/3412)*'Residential Heat Pump Measu (2)'!$D$15</f>
        <v>5.2754982415005864</v>
      </c>
      <c r="P39" s="11">
        <v>130</v>
      </c>
      <c r="Q39" s="11">
        <v>54</v>
      </c>
      <c r="R39" s="5">
        <f t="shared" si="7"/>
        <v>845.04551921725749</v>
      </c>
      <c r="S39" s="12">
        <f t="shared" si="11"/>
        <v>1569.6864816792072</v>
      </c>
      <c r="W39" s="11">
        <f t="shared" si="12"/>
        <v>597.043029881758</v>
      </c>
      <c r="X39" s="11">
        <f t="shared" si="13"/>
        <v>248.00248933549949</v>
      </c>
    </row>
    <row r="40" spans="3:28">
      <c r="C40" s="24">
        <f t="shared" si="3"/>
        <v>2.0000000000000018E-2</v>
      </c>
      <c r="D40">
        <f t="shared" si="14"/>
        <v>8</v>
      </c>
      <c r="E40" s="13">
        <f t="shared" si="5"/>
        <v>2033</v>
      </c>
      <c r="F40" s="19">
        <f t="shared" si="15"/>
        <v>0.48563708416547785</v>
      </c>
      <c r="G40" s="19">
        <f t="shared" si="4"/>
        <v>1.9974271975853615</v>
      </c>
      <c r="H40" s="19">
        <f t="shared" si="6"/>
        <v>1.5117901134198837</v>
      </c>
      <c r="I40" s="4">
        <f>'GHG Impact Summary (2)'!D11*3.7854</f>
        <v>2186.5126353790615</v>
      </c>
      <c r="J40" s="2">
        <f t="shared" si="8"/>
        <v>0.85349037119011162</v>
      </c>
      <c r="K40" s="11">
        <f t="shared" si="9"/>
        <v>2821.2535474312294</v>
      </c>
      <c r="L40" s="11">
        <v>85</v>
      </c>
      <c r="M40" s="4">
        <f>'GHG Impact Summary (2)'!F11</f>
        <v>6.3024618991793675</v>
      </c>
      <c r="N40" s="5">
        <f t="shared" si="10"/>
        <v>457.22269638808143</v>
      </c>
      <c r="O40" s="5">
        <f>(18000/3412)*'Residential Heat Pump Measu (2)'!$D$15</f>
        <v>5.2754982415005864</v>
      </c>
      <c r="P40" s="11">
        <v>138</v>
      </c>
      <c r="Q40" s="11">
        <v>55</v>
      </c>
      <c r="R40" s="5">
        <f t="shared" si="7"/>
        <v>868.9992818037656</v>
      </c>
      <c r="S40" s="12">
        <f t="shared" si="11"/>
        <v>1495.0315692393824</v>
      </c>
      <c r="W40" s="11">
        <f t="shared" si="12"/>
        <v>621.3569994244541</v>
      </c>
      <c r="X40" s="11">
        <f t="shared" si="13"/>
        <v>247.64228237931141</v>
      </c>
    </row>
    <row r="41" spans="3:28">
      <c r="C41" s="24">
        <f t="shared" si="3"/>
        <v>2.0000000000000018E-2</v>
      </c>
      <c r="D41">
        <f t="shared" si="14"/>
        <v>9</v>
      </c>
      <c r="E41" s="13">
        <f t="shared" si="5"/>
        <v>2034</v>
      </c>
      <c r="F41" s="19">
        <f t="shared" si="15"/>
        <v>0.4953498258487874</v>
      </c>
      <c r="G41" s="19">
        <f t="shared" si="4"/>
        <v>2.0111347936638415</v>
      </c>
      <c r="H41" s="19">
        <f t="shared" si="6"/>
        <v>1.5157849678150541</v>
      </c>
      <c r="I41" s="4">
        <f>'GHG Impact Summary (2)'!D12*3.7854</f>
        <v>2186.5126353790615</v>
      </c>
      <c r="J41" s="2">
        <f t="shared" si="8"/>
        <v>0.83675526587265847</v>
      </c>
      <c r="K41" s="11">
        <f t="shared" si="9"/>
        <v>2773.2437399940727</v>
      </c>
      <c r="L41" s="11">
        <v>87</v>
      </c>
      <c r="M41" s="4">
        <f>'GHG Impact Summary (2)'!F12</f>
        <v>6.3024618991793675</v>
      </c>
      <c r="N41" s="5">
        <f t="shared" si="10"/>
        <v>458.80478184271152</v>
      </c>
      <c r="O41" s="5">
        <f>(18000/3412)*'Residential Heat Pump Measu (2)'!$D$15</f>
        <v>5.2754982415005864</v>
      </c>
      <c r="P41" s="11">
        <v>145</v>
      </c>
      <c r="Q41" s="11">
        <v>56</v>
      </c>
      <c r="R41" s="5">
        <f t="shared" si="7"/>
        <v>887.27448766919065</v>
      </c>
      <c r="S41" s="12">
        <f t="shared" si="11"/>
        <v>1427.1644704821706</v>
      </c>
      <c r="W41" s="11">
        <f t="shared" si="12"/>
        <v>640.07363538324694</v>
      </c>
      <c r="X41" s="11">
        <f t="shared" si="13"/>
        <v>247.20085228594368</v>
      </c>
    </row>
    <row r="42" spans="3:28">
      <c r="C42" s="24">
        <f t="shared" si="3"/>
        <v>2.0000000000000018E-2</v>
      </c>
      <c r="D42">
        <f t="shared" si="14"/>
        <v>10</v>
      </c>
      <c r="E42" s="13">
        <f t="shared" si="5"/>
        <v>2035</v>
      </c>
      <c r="F42" s="19">
        <f t="shared" si="15"/>
        <v>0.50525682236576319</v>
      </c>
      <c r="G42" s="19">
        <f t="shared" si="4"/>
        <v>2.0250640597681446</v>
      </c>
      <c r="H42" s="19">
        <f t="shared" si="6"/>
        <v>1.5198072374023814</v>
      </c>
      <c r="I42" s="4">
        <f>'GHG Impact Summary (2)'!D13*3.7854</f>
        <v>2186.5126353790615</v>
      </c>
      <c r="J42" s="2">
        <f t="shared" si="8"/>
        <v>0.82034829987515534</v>
      </c>
      <c r="K42" s="11">
        <f t="shared" si="9"/>
        <v>2726.0811644528649</v>
      </c>
      <c r="L42" s="11">
        <v>88</v>
      </c>
      <c r="M42" s="4">
        <f>'GHG Impact Summary (2)'!F13</f>
        <v>6.3024618991793675</v>
      </c>
      <c r="N42" s="5">
        <f t="shared" si="10"/>
        <v>454.97882355373685</v>
      </c>
      <c r="O42" s="5">
        <f>(18000/3412)*'Residential Heat Pump Measu (2)'!$D$15</f>
        <v>5.2754982415005864</v>
      </c>
      <c r="P42" s="11">
        <v>152</v>
      </c>
      <c r="Q42" s="11">
        <v>57</v>
      </c>
      <c r="R42" s="5">
        <f t="shared" si="7"/>
        <v>904.49891680255996</v>
      </c>
      <c r="S42" s="12">
        <f t="shared" si="11"/>
        <v>1366.603424096568</v>
      </c>
      <c r="W42" s="11">
        <f t="shared" si="12"/>
        <v>657.81739403822542</v>
      </c>
      <c r="X42" s="11">
        <f t="shared" si="13"/>
        <v>246.68152276433452</v>
      </c>
    </row>
    <row r="43" spans="3:28">
      <c r="C43" s="24">
        <f t="shared" si="3"/>
        <v>2.0000000000000018E-2</v>
      </c>
      <c r="D43">
        <f t="shared" si="14"/>
        <v>11</v>
      </c>
      <c r="E43" s="13">
        <f t="shared" si="5"/>
        <v>2036</v>
      </c>
      <c r="F43" s="19">
        <f t="shared" si="15"/>
        <v>0.51536195881307845</v>
      </c>
      <c r="G43" s="19">
        <f t="shared" si="4"/>
        <v>2.0392193243349963</v>
      </c>
      <c r="H43" s="19">
        <f t="shared" si="6"/>
        <v>1.5238573655219179</v>
      </c>
      <c r="I43" s="4">
        <f>'GHG Impact Summary (2)'!D14*3.7854</f>
        <v>2186.5126353790615</v>
      </c>
      <c r="J43" s="2">
        <f t="shared" si="8"/>
        <v>0.80426303909328967</v>
      </c>
      <c r="K43" s="11">
        <f t="shared" si="9"/>
        <v>2679.7508696565037</v>
      </c>
      <c r="L43" s="11">
        <v>90</v>
      </c>
      <c r="M43" s="4">
        <f>'GHG Impact Summary (2)'!F14</f>
        <v>6.3024618991793675</v>
      </c>
      <c r="N43" s="5">
        <f t="shared" si="10"/>
        <v>456.19534447232974</v>
      </c>
      <c r="O43" s="5">
        <f>(18000/3412)*'Residential Heat Pump Measu (2)'!$D$15</f>
        <v>5.2754982415005864</v>
      </c>
      <c r="P43" s="11">
        <v>157</v>
      </c>
      <c r="Q43" s="11">
        <v>58</v>
      </c>
      <c r="R43" s="5">
        <f t="shared" si="7"/>
        <v>912.22097341472204</v>
      </c>
      <c r="S43" s="12">
        <f t="shared" si="11"/>
        <v>1311.334551769452</v>
      </c>
      <c r="W43" s="11">
        <f t="shared" si="12"/>
        <v>666.13345500516914</v>
      </c>
      <c r="X43" s="11">
        <f t="shared" si="13"/>
        <v>246.0875184095529</v>
      </c>
    </row>
    <row r="44" spans="3:28">
      <c r="C44" s="24">
        <f t="shared" si="3"/>
        <v>2.0000000000000018E-2</v>
      </c>
      <c r="D44">
        <f t="shared" si="14"/>
        <v>12</v>
      </c>
      <c r="E44" s="13">
        <f t="shared" si="5"/>
        <v>2037</v>
      </c>
      <c r="F44" s="19">
        <f t="shared" si="15"/>
        <v>0.52566919798933998</v>
      </c>
      <c r="G44" s="19">
        <f t="shared" si="4"/>
        <v>2.0536050021599279</v>
      </c>
      <c r="H44" s="19">
        <f t="shared" si="6"/>
        <v>1.5279358041705879</v>
      </c>
      <c r="I44" s="4">
        <f>'GHG Impact Summary (2)'!D15*3.7854</f>
        <v>2186.5126353790615</v>
      </c>
      <c r="J44" s="2">
        <f t="shared" si="8"/>
        <v>0.78849317558165644</v>
      </c>
      <c r="K44" s="11">
        <f t="shared" si="9"/>
        <v>2634.2381682977243</v>
      </c>
      <c r="L44" s="11">
        <v>92</v>
      </c>
      <c r="M44" s="4">
        <f>'GHG Impact Summary (2)'!F15</f>
        <v>6.3024618991793675</v>
      </c>
      <c r="N44" s="5">
        <f t="shared" si="10"/>
        <v>457.18923411170306</v>
      </c>
      <c r="O44" s="5">
        <f>(18000/3412)*'Residential Heat Pump Measu (2)'!$D$15</f>
        <v>5.2754982415005864</v>
      </c>
      <c r="P44" s="11">
        <v>162</v>
      </c>
      <c r="Q44" s="11">
        <v>60</v>
      </c>
      <c r="R44" s="5">
        <f t="shared" si="7"/>
        <v>923.45214819000569</v>
      </c>
      <c r="S44" s="12">
        <f t="shared" si="11"/>
        <v>1253.5967859960156</v>
      </c>
      <c r="W44" s="11">
        <f t="shared" si="12"/>
        <v>673.87048651703117</v>
      </c>
      <c r="X44" s="11">
        <f t="shared" si="13"/>
        <v>249.58166167297449</v>
      </c>
    </row>
    <row r="45" spans="3:28">
      <c r="C45" s="24">
        <f t="shared" si="3"/>
        <v>2.0000000000000018E-2</v>
      </c>
      <c r="D45">
        <f t="shared" si="14"/>
        <v>13</v>
      </c>
      <c r="E45" s="13">
        <f t="shared" si="5"/>
        <v>2038</v>
      </c>
      <c r="F45" s="19">
        <f t="shared" si="15"/>
        <v>0.53618258194912682</v>
      </c>
      <c r="G45" s="19">
        <f t="shared" si="4"/>
        <v>2.0682255961240346</v>
      </c>
      <c r="H45" s="19">
        <f t="shared" si="6"/>
        <v>1.5320430141749077</v>
      </c>
      <c r="I45" s="4">
        <f>'GHG Impact Summary (2)'!D16*3.7854</f>
        <v>2186.5126353790615</v>
      </c>
      <c r="J45" s="2">
        <f t="shared" si="8"/>
        <v>0.77303252508005538</v>
      </c>
      <c r="K45" s="11">
        <f t="shared" si="9"/>
        <v>2589.5286322570414</v>
      </c>
      <c r="L45" s="11">
        <v>94</v>
      </c>
      <c r="M45" s="4">
        <f>'GHG Impact Summary (2)'!F16</f>
        <v>6.3024618991793675</v>
      </c>
      <c r="N45" s="5">
        <f t="shared" si="10"/>
        <v>457.96875539748595</v>
      </c>
      <c r="O45" s="5">
        <f>(18000/3412)*'Residential Heat Pump Measu (2)'!$D$15</f>
        <v>5.2754982415005864</v>
      </c>
      <c r="P45" s="11">
        <v>167</v>
      </c>
      <c r="Q45" s="11">
        <v>61</v>
      </c>
      <c r="R45" s="5">
        <f t="shared" si="7"/>
        <v>929.81403368363067</v>
      </c>
      <c r="S45" s="12">
        <f t="shared" si="11"/>
        <v>1201.7458431759248</v>
      </c>
      <c r="W45" s="11">
        <f t="shared" si="12"/>
        <v>681.0479983559926</v>
      </c>
      <c r="X45" s="11">
        <f t="shared" si="13"/>
        <v>248.76603532763801</v>
      </c>
    </row>
    <row r="46" spans="3:28">
      <c r="C46" s="24">
        <f t="shared" si="3"/>
        <v>2.0000000000000018E-2</v>
      </c>
      <c r="D46">
        <f t="shared" si="14"/>
        <v>14</v>
      </c>
      <c r="E46" s="13">
        <f t="shared" si="5"/>
        <v>2039</v>
      </c>
      <c r="F46" s="19">
        <f t="shared" si="15"/>
        <v>0.54690623358810941</v>
      </c>
      <c r="G46" s="19">
        <f t="shared" si="4"/>
        <v>2.0830856989552649</v>
      </c>
      <c r="H46" s="19">
        <f t="shared" si="6"/>
        <v>1.5361794653671554</v>
      </c>
      <c r="I46" s="4">
        <f>'GHG Impact Summary (2)'!D17*3.7854</f>
        <v>2186.5126353790615</v>
      </c>
      <c r="J46" s="2">
        <f t="shared" si="8"/>
        <v>0.75787502458828948</v>
      </c>
      <c r="K46" s="11">
        <f t="shared" si="9"/>
        <v>2545.60808802884</v>
      </c>
      <c r="L46" s="11">
        <v>96</v>
      </c>
      <c r="M46" s="4">
        <f>'GHG Impact Summary (2)'!F17</f>
        <v>6.3024618991793675</v>
      </c>
      <c r="N46" s="5">
        <f t="shared" si="10"/>
        <v>458.5419328135028</v>
      </c>
      <c r="O46" s="5">
        <f>(18000/3412)*'Residential Heat Pump Measu (2)'!$D$15</f>
        <v>5.2754982415005864</v>
      </c>
      <c r="P46" s="11">
        <v>170</v>
      </c>
      <c r="Q46" s="11">
        <v>62</v>
      </c>
      <c r="R46" s="5">
        <f t="shared" si="7"/>
        <v>927.57505940231454</v>
      </c>
      <c r="S46" s="12">
        <f t="shared" si="11"/>
        <v>1159.4910958130226</v>
      </c>
      <c r="W46" s="11">
        <f t="shared" si="12"/>
        <v>679.68862111376495</v>
      </c>
      <c r="X46" s="11">
        <f t="shared" si="13"/>
        <v>247.88643828854956</v>
      </c>
    </row>
    <row r="47" spans="3:28">
      <c r="C47" s="24">
        <f t="shared" si="3"/>
        <v>2.0000000000000018E-2</v>
      </c>
      <c r="D47">
        <f t="shared" si="14"/>
        <v>15</v>
      </c>
      <c r="E47" s="13">
        <f t="shared" si="5"/>
        <v>2040</v>
      </c>
      <c r="F47" s="19">
        <f t="shared" si="15"/>
        <v>0.55784435825987166</v>
      </c>
      <c r="G47" s="19">
        <f t="shared" si="4"/>
        <v>2.0981899950249376</v>
      </c>
      <c r="H47" s="19">
        <f t="shared" si="6"/>
        <v>1.5403456367650659</v>
      </c>
      <c r="I47" s="4">
        <f>'GHG Impact Summary (2)'!D18*3.7854</f>
        <v>2186.5126353790615</v>
      </c>
      <c r="J47" s="2">
        <f t="shared" si="8"/>
        <v>0.74301472998851925</v>
      </c>
      <c r="K47" s="11">
        <f t="shared" si="9"/>
        <v>2502.4626122281966</v>
      </c>
      <c r="L47" s="11">
        <v>97</v>
      </c>
      <c r="M47" s="4">
        <f>'GHG Impact Summary (2)'!F18</f>
        <v>6.3024618991793675</v>
      </c>
      <c r="N47" s="5">
        <f t="shared" si="10"/>
        <v>454.23373654932374</v>
      </c>
      <c r="O47" s="5">
        <f>(18000/3412)*'Residential Heat Pump Measu (2)'!$D$15</f>
        <v>5.2754982415005864</v>
      </c>
      <c r="P47" s="11">
        <v>173</v>
      </c>
      <c r="Q47" s="11">
        <v>63</v>
      </c>
      <c r="R47" s="5">
        <f t="shared" si="7"/>
        <v>925.06640474537812</v>
      </c>
      <c r="S47" s="12">
        <f t="shared" si="11"/>
        <v>1123.1624709334947</v>
      </c>
      <c r="W47" s="11">
        <f t="shared" si="12"/>
        <v>678.12071195317969</v>
      </c>
      <c r="X47" s="11">
        <f t="shared" si="13"/>
        <v>246.9456927921984</v>
      </c>
    </row>
    <row r="48" spans="3:28">
      <c r="K48" s="18">
        <f>SUM(K33:K47)</f>
        <v>42442.305261721725</v>
      </c>
      <c r="M48" s="127">
        <f>SUM(M33:M47)</f>
        <v>94.536928487690503</v>
      </c>
      <c r="N48" s="21">
        <f>SUM(N33:N47)</f>
        <v>6849.1224974673232</v>
      </c>
      <c r="O48" s="21"/>
      <c r="P48" s="21"/>
      <c r="Q48" s="21"/>
      <c r="R48" s="21">
        <f>SUM(R33:R47)</f>
        <v>12422.879201131147</v>
      </c>
      <c r="S48" s="18">
        <f>SUM(S33:S47)</f>
        <v>23170.303563123256</v>
      </c>
      <c r="W48" s="18">
        <f>SUM(W33:W47)</f>
        <v>8703.4989436979977</v>
      </c>
      <c r="X48" s="18">
        <f>SUM(X33:X47)</f>
        <v>3719.3802574331489</v>
      </c>
      <c r="AA48" s="32">
        <f>SUM(AA33:AA47)</f>
        <v>19607.843137254902</v>
      </c>
      <c r="AB48" s="32">
        <f>SUM(AB33:AB47)</f>
        <v>3431.3725490196075</v>
      </c>
    </row>
    <row r="49" spans="3:24">
      <c r="M49" s="4"/>
    </row>
    <row r="50" spans="3:24">
      <c r="X50" s="19">
        <f>X48/2</f>
        <v>1859.6901287165745</v>
      </c>
    </row>
    <row r="51" spans="3:24">
      <c r="C51" s="14"/>
    </row>
    <row r="52" spans="3:24">
      <c r="C52" s="56"/>
      <c r="R52" s="105"/>
      <c r="S52" s="105"/>
      <c r="T52" s="105"/>
    </row>
    <row r="53" spans="3:24">
      <c r="D53" s="133"/>
      <c r="H53" s="132"/>
      <c r="I53" s="134"/>
      <c r="J53" s="12"/>
      <c r="Q53" s="132"/>
      <c r="R53" s="12"/>
      <c r="S53" s="5"/>
      <c r="T53" s="5"/>
    </row>
    <row r="54" spans="3:24">
      <c r="D54" s="135"/>
      <c r="H54" s="132"/>
      <c r="Q54" s="132"/>
      <c r="T54" s="5"/>
    </row>
    <row r="55" spans="3:24">
      <c r="D55" s="136"/>
      <c r="H55" s="132"/>
      <c r="I55" s="137"/>
      <c r="Q55" s="132"/>
      <c r="R55" s="6"/>
      <c r="S55" s="6"/>
      <c r="T55" s="5"/>
    </row>
    <row r="56" spans="3:24">
      <c r="H56" s="132"/>
      <c r="I56" s="133"/>
      <c r="Q56" s="132"/>
      <c r="R56" s="3"/>
      <c r="S56" s="5"/>
    </row>
    <row r="57" spans="3:24">
      <c r="D57" s="28"/>
      <c r="H57" s="132"/>
      <c r="I57" s="134"/>
      <c r="Q57" s="132"/>
      <c r="R57" s="128"/>
      <c r="S57" s="128"/>
    </row>
    <row r="58" spans="3:24">
      <c r="D58" s="138"/>
      <c r="H58" s="132"/>
      <c r="I58" s="139"/>
    </row>
    <row r="73" spans="12:12">
      <c r="L73" t="s">
        <v>312</v>
      </c>
    </row>
    <row r="74" spans="12:12">
      <c r="L74" t="s">
        <v>313</v>
      </c>
    </row>
  </sheetData>
  <mergeCells count="2">
    <mergeCell ref="C28:K28"/>
    <mergeCell ref="L28:R28"/>
  </mergeCells>
  <hyperlinks>
    <hyperlink ref="I13" r:id="rId1" xr:uid="{1CB51241-A5C5-4BED-A49E-F1709D9EFB52}"/>
    <hyperlink ref="H5" r:id="rId2" xr:uid="{60CEF329-CCC5-4DD6-B032-3024A349E9BA}"/>
  </hyperlinks>
  <pageMargins left="0.7" right="0.7" top="0.75" bottom="0.75" header="0.3" footer="0.3"/>
  <pageSetup orientation="portrait" r:id="rId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5C668-72E1-4098-B1A5-E5E881DECE4D}">
  <sheetPr>
    <tabColor theme="6" tint="0.59999389629810485"/>
  </sheetPr>
  <dimension ref="A1:I56"/>
  <sheetViews>
    <sheetView showGridLines="0" topLeftCell="A22" workbookViewId="0">
      <selection activeCell="L32" sqref="L32"/>
    </sheetView>
  </sheetViews>
  <sheetFormatPr defaultRowHeight="14.45"/>
  <cols>
    <col min="1" max="1" width="4.5703125" customWidth="1"/>
    <col min="2" max="2" width="33.42578125" style="35" customWidth="1"/>
    <col min="3" max="3" width="10.42578125" bestFit="1" customWidth="1"/>
    <col min="4" max="4" width="12.85546875" customWidth="1"/>
    <col min="5" max="5" width="10.42578125" customWidth="1"/>
    <col min="12" max="12" width="25.85546875" customWidth="1"/>
    <col min="14" max="14" width="9.5703125" customWidth="1"/>
  </cols>
  <sheetData>
    <row r="1" spans="1:6">
      <c r="A1" s="56" t="s">
        <v>551</v>
      </c>
    </row>
    <row r="2" spans="1:6">
      <c r="A2" s="56"/>
    </row>
    <row r="3" spans="1:6">
      <c r="B3" s="56" t="s">
        <v>552</v>
      </c>
    </row>
    <row r="4" spans="1:6">
      <c r="B4" s="35" t="s">
        <v>553</v>
      </c>
      <c r="D4" s="30">
        <f>'Residential Heat Pump Measu (2)'!D5*138500/1000000</f>
        <v>80</v>
      </c>
    </row>
    <row r="5" spans="1:6">
      <c r="B5" s="35" t="s">
        <v>554</v>
      </c>
      <c r="D5" s="30">
        <f>'Residential Heat Pump Measure'!D33</f>
        <v>7878.077373974209</v>
      </c>
      <c r="F5">
        <f>D5/D7</f>
        <v>1.25</v>
      </c>
    </row>
    <row r="6" spans="1:6">
      <c r="B6" s="35" t="s">
        <v>555</v>
      </c>
      <c r="D6" s="87">
        <v>0.2</v>
      </c>
    </row>
    <row r="7" spans="1:6">
      <c r="B7" s="35" t="s">
        <v>556</v>
      </c>
      <c r="D7" s="4">
        <f>('Residential Heat Pump Measu (2)'!D12)*(1-D6)</f>
        <v>6302.4618991793677</v>
      </c>
    </row>
    <row r="8" spans="1:6">
      <c r="B8" s="35" t="s">
        <v>557</v>
      </c>
      <c r="D8">
        <v>15</v>
      </c>
      <c r="E8" t="s">
        <v>140</v>
      </c>
    </row>
    <row r="9" spans="1:6">
      <c r="B9" s="35" t="s">
        <v>558</v>
      </c>
      <c r="D9" s="6">
        <v>12000</v>
      </c>
    </row>
    <row r="10" spans="1:6">
      <c r="B10" s="35" t="s">
        <v>559</v>
      </c>
      <c r="D10" s="11">
        <v>8000</v>
      </c>
    </row>
    <row r="12" spans="1:6">
      <c r="B12"/>
      <c r="C12" t="s">
        <v>560</v>
      </c>
      <c r="D12" t="s">
        <v>561</v>
      </c>
      <c r="E12" t="s">
        <v>562</v>
      </c>
      <c r="F12" t="s">
        <v>394</v>
      </c>
    </row>
    <row r="13" spans="1:6">
      <c r="B13" t="s">
        <v>130</v>
      </c>
      <c r="C13" s="6">
        <f>'WX+HP '!H5</f>
        <v>-6849.1224974673232</v>
      </c>
      <c r="D13" s="6">
        <f>C13*$F$5</f>
        <v>-8561.4031218341534</v>
      </c>
      <c r="E13" s="6">
        <f t="shared" ref="E13:E18" si="0">C13-D13</f>
        <v>1712.2806243668301</v>
      </c>
      <c r="F13" s="6">
        <f t="shared" ref="F13:F25" si="1">E13+D13</f>
        <v>-6849.1224974673232</v>
      </c>
    </row>
    <row r="14" spans="1:6">
      <c r="B14" t="s">
        <v>134</v>
      </c>
      <c r="C14" s="6">
        <f>'WX+HP '!H6</f>
        <v>-8703.4989436979977</v>
      </c>
      <c r="D14" s="6">
        <f>C14*$F$5</f>
        <v>-10879.373679622497</v>
      </c>
      <c r="E14" s="6">
        <f t="shared" si="0"/>
        <v>2175.874735924499</v>
      </c>
      <c r="F14" s="6">
        <f t="shared" si="1"/>
        <v>-8703.4989436979977</v>
      </c>
    </row>
    <row r="15" spans="1:6">
      <c r="B15" t="s">
        <v>53</v>
      </c>
      <c r="C15" s="6">
        <f>'WX+HP '!H11</f>
        <v>-1859.6901287165745</v>
      </c>
      <c r="D15" s="6">
        <f>C15*$F$5</f>
        <v>-2324.6126608957179</v>
      </c>
      <c r="E15" s="6">
        <f t="shared" si="0"/>
        <v>464.92253217914345</v>
      </c>
      <c r="F15" s="6">
        <f t="shared" si="1"/>
        <v>-1859.6901287165745</v>
      </c>
    </row>
    <row r="16" spans="1:6">
      <c r="B16" t="s">
        <v>58</v>
      </c>
      <c r="C16" s="6">
        <f>'WX+HP '!H13</f>
        <v>-1859.6901287165745</v>
      </c>
      <c r="D16" s="6">
        <f>C16*$F$5</f>
        <v>-2324.6126608957179</v>
      </c>
      <c r="E16" s="6">
        <f t="shared" si="0"/>
        <v>464.92253217914345</v>
      </c>
      <c r="F16" s="6">
        <f t="shared" si="1"/>
        <v>-1859.6901287165745</v>
      </c>
    </row>
    <row r="17" spans="2:6">
      <c r="B17" t="s">
        <v>66</v>
      </c>
      <c r="C17" s="6">
        <f>'WX+HP '!H17</f>
        <v>-19607.843137254902</v>
      </c>
      <c r="D17" s="6">
        <f>C17*('Other Fuel Impact Heating O (2)'!AA26/'Other Fuel Impact Heating O (2)'!AA28)</f>
        <v>-7843.1372549019616</v>
      </c>
      <c r="E17" s="6">
        <f t="shared" si="0"/>
        <v>-11764.705882352941</v>
      </c>
      <c r="F17" s="6">
        <f t="shared" si="1"/>
        <v>-19607.843137254902</v>
      </c>
    </row>
    <row r="18" spans="2:6">
      <c r="B18" t="s">
        <v>153</v>
      </c>
      <c r="C18" s="6">
        <f>'WX+HP '!H19</f>
        <v>-3431.3725490196075</v>
      </c>
      <c r="D18" s="6">
        <f>C18*'Other Fuel Impact Heating O (2)'!AB26/'Other Fuel Impact Heating O (2)'!AB28</f>
        <v>-1960.7843137254902</v>
      </c>
      <c r="E18" s="6">
        <f t="shared" si="0"/>
        <v>-1470.5882352941173</v>
      </c>
      <c r="F18" s="6">
        <f t="shared" si="1"/>
        <v>-3431.3725490196075</v>
      </c>
    </row>
    <row r="19" spans="2:6">
      <c r="B19" t="s">
        <v>205</v>
      </c>
      <c r="C19" s="6">
        <f>'WX+HP '!H26</f>
        <v>42442.305261721725</v>
      </c>
      <c r="D19" s="6">
        <f>C19</f>
        <v>42442.305261721725</v>
      </c>
      <c r="E19" s="6">
        <f>D19-C19</f>
        <v>0</v>
      </c>
      <c r="F19" s="6">
        <f t="shared" si="1"/>
        <v>42442.305261721725</v>
      </c>
    </row>
    <row r="20" spans="2:6">
      <c r="B20" t="s">
        <v>563</v>
      </c>
      <c r="C20" s="6">
        <f>'WX+HP '!H28</f>
        <v>15768.568890791455</v>
      </c>
      <c r="D20" s="6">
        <f>C20</f>
        <v>15768.568890791455</v>
      </c>
      <c r="E20" s="6">
        <f>D20-C20</f>
        <v>0</v>
      </c>
      <c r="F20" s="6">
        <f t="shared" si="1"/>
        <v>15768.568890791455</v>
      </c>
    </row>
    <row r="21" spans="2:6">
      <c r="B21" t="s">
        <v>209</v>
      </c>
      <c r="C21" s="6">
        <f>'WX+HP '!H30</f>
        <v>0</v>
      </c>
      <c r="D21" s="6">
        <f>C21</f>
        <v>0</v>
      </c>
      <c r="E21" s="6">
        <f>D21-C21</f>
        <v>0</v>
      </c>
      <c r="F21" s="6">
        <f t="shared" si="1"/>
        <v>0</v>
      </c>
    </row>
    <row r="22" spans="2:6">
      <c r="B22" t="s">
        <v>564</v>
      </c>
      <c r="C22" s="6">
        <f>F22</f>
        <v>5597.6607975545758</v>
      </c>
      <c r="D22" s="6">
        <f>D23*'Host Customer by DER Matrix'!E11</f>
        <v>3670.4606276947288</v>
      </c>
      <c r="E22" s="6">
        <f>E23*'Host Customer by DER Matrix'!E5</f>
        <v>1927.2001698598467</v>
      </c>
      <c r="F22" s="6">
        <f t="shared" si="1"/>
        <v>5597.6607975545758</v>
      </c>
    </row>
    <row r="23" spans="2:6">
      <c r="B23" s="14" t="s">
        <v>565</v>
      </c>
      <c r="C23" s="6">
        <f>SUM(C13:C16,C19)</f>
        <v>23170.303563123256</v>
      </c>
      <c r="D23" s="6">
        <f>SUM(D13:D16,D19)</f>
        <v>18352.303138473642</v>
      </c>
      <c r="E23" s="6">
        <f>SUM(E13:E16,E19)</f>
        <v>4818.0004246496164</v>
      </c>
      <c r="F23" s="6">
        <f t="shared" si="1"/>
        <v>23170.30356312326</v>
      </c>
    </row>
    <row r="24" spans="2:6">
      <c r="B24" s="14" t="s">
        <v>150</v>
      </c>
      <c r="C24" s="6"/>
      <c r="D24" s="6">
        <f>SUM(D13:D22)</f>
        <v>27987.411088332374</v>
      </c>
      <c r="E24" s="6">
        <f>SUM(E13:E22)</f>
        <v>-6490.0935231375952</v>
      </c>
      <c r="F24" s="6">
        <f t="shared" si="1"/>
        <v>21497.317565194779</v>
      </c>
    </row>
    <row r="25" spans="2:6">
      <c r="B25" t="s">
        <v>566</v>
      </c>
      <c r="D25" s="6">
        <f>-PMT(0.02,15,D22)</f>
        <v>285.65533172626971</v>
      </c>
      <c r="E25" s="6">
        <f>-PMT(0.02,15,E22)</f>
        <v>149.98526334009324</v>
      </c>
      <c r="F25" s="6">
        <f t="shared" si="1"/>
        <v>435.64059506636295</v>
      </c>
    </row>
    <row r="26" spans="2:6">
      <c r="B26" t="s">
        <v>567</v>
      </c>
      <c r="D26" s="28">
        <f>D25/D4</f>
        <v>3.5706916465783713</v>
      </c>
      <c r="E26" s="132" t="s">
        <v>568</v>
      </c>
      <c r="F26" s="28">
        <f>D26</f>
        <v>3.5706916465783713</v>
      </c>
    </row>
    <row r="27" spans="2:6">
      <c r="B27" t="s">
        <v>569</v>
      </c>
      <c r="D27" s="132" t="s">
        <v>568</v>
      </c>
      <c r="E27" s="154">
        <f>E25/(D5-D7)</f>
        <v>9.5191539902603844E-2</v>
      </c>
      <c r="F27" s="128">
        <f>E27</f>
        <v>9.5191539902603844E-2</v>
      </c>
    </row>
    <row r="28" spans="2:6">
      <c r="B28"/>
      <c r="D28" s="132"/>
      <c r="E28" s="28"/>
      <c r="F28" s="128"/>
    </row>
    <row r="29" spans="2:6">
      <c r="B29"/>
      <c r="D29" s="132"/>
      <c r="E29" s="28"/>
      <c r="F29" s="128"/>
    </row>
    <row r="30" spans="2:6">
      <c r="D30" s="132"/>
      <c r="E30" s="28"/>
      <c r="F30" s="128"/>
    </row>
    <row r="31" spans="2:6">
      <c r="B31" s="14" t="s">
        <v>570</v>
      </c>
      <c r="D31" s="132"/>
      <c r="E31" s="28"/>
      <c r="F31" s="128"/>
    </row>
    <row r="32" spans="2:6">
      <c r="B32" s="56" t="s">
        <v>571</v>
      </c>
      <c r="D32" s="132"/>
      <c r="E32" s="28"/>
      <c r="F32" s="128"/>
    </row>
    <row r="33" spans="2:9">
      <c r="B33" s="146"/>
      <c r="C33" s="147" t="s">
        <v>549</v>
      </c>
      <c r="D33" s="147" t="s">
        <v>572</v>
      </c>
      <c r="E33" s="148" t="s">
        <v>394</v>
      </c>
      <c r="F33" s="128"/>
    </row>
    <row r="34" spans="2:9" ht="29.1">
      <c r="B34" s="143" t="s">
        <v>573</v>
      </c>
      <c r="C34" s="106">
        <v>8000</v>
      </c>
      <c r="D34" s="106">
        <f>E23</f>
        <v>4818.0004246496164</v>
      </c>
      <c r="E34" s="106">
        <f>D34+C34</f>
        <v>12818.000424649617</v>
      </c>
      <c r="F34" s="128"/>
    </row>
    <row r="35" spans="2:9">
      <c r="B35" s="46" t="s">
        <v>574</v>
      </c>
      <c r="C35" s="140">
        <v>0.2</v>
      </c>
      <c r="D35" s="141">
        <f>'Host Customer by DER Matrix'!E4</f>
        <v>0.4</v>
      </c>
      <c r="E35" s="149"/>
      <c r="F35" s="128"/>
    </row>
    <row r="36" spans="2:9">
      <c r="B36" s="46" t="s">
        <v>575</v>
      </c>
      <c r="C36" s="106">
        <f>C35*C34</f>
        <v>1600</v>
      </c>
      <c r="D36" s="106">
        <f>D35*D34</f>
        <v>1927.2001698598467</v>
      </c>
      <c r="E36" s="106">
        <f>D36+C36</f>
        <v>3527.2001698598469</v>
      </c>
      <c r="F36" s="128"/>
    </row>
    <row r="37" spans="2:9">
      <c r="B37" s="46" t="s">
        <v>576</v>
      </c>
      <c r="C37" s="42">
        <v>15</v>
      </c>
      <c r="D37" s="42">
        <v>15</v>
      </c>
      <c r="E37" s="151"/>
      <c r="F37" s="128"/>
    </row>
    <row r="38" spans="2:9">
      <c r="B38" s="46" t="s">
        <v>577</v>
      </c>
      <c r="C38" s="106">
        <f>-PMT(0.02,C37,C36)</f>
        <v>124.52075560039059</v>
      </c>
      <c r="D38" s="106">
        <f>-PMT(0.02,D37,D36)</f>
        <v>149.98526334009324</v>
      </c>
      <c r="E38" s="106">
        <f>D38+C38</f>
        <v>274.50601894048384</v>
      </c>
      <c r="F38" s="128"/>
    </row>
    <row r="39" spans="2:9">
      <c r="B39" s="46" t="s">
        <v>578</v>
      </c>
      <c r="C39" s="142">
        <f>D4</f>
        <v>80</v>
      </c>
      <c r="D39" s="152"/>
      <c r="E39" s="149"/>
      <c r="F39" s="128"/>
    </row>
    <row r="40" spans="2:9">
      <c r="B40" s="46" t="s">
        <v>579</v>
      </c>
      <c r="C40" s="151"/>
      <c r="D40" s="142">
        <f>D5-D7</f>
        <v>1575.6154747948412</v>
      </c>
      <c r="E40" s="150"/>
      <c r="F40" s="128"/>
    </row>
    <row r="41" spans="2:9">
      <c r="B41" s="143" t="s">
        <v>580</v>
      </c>
      <c r="C41" s="41">
        <f>C38/C39</f>
        <v>1.5565094450048824</v>
      </c>
      <c r="D41" s="151"/>
      <c r="E41" s="151"/>
    </row>
    <row r="42" spans="2:9">
      <c r="B42" s="46" t="s">
        <v>581</v>
      </c>
      <c r="C42" s="151"/>
      <c r="D42" s="144">
        <f>D38/D40</f>
        <v>9.5191539902603844E-2</v>
      </c>
      <c r="E42" s="151"/>
    </row>
    <row r="43" spans="2:9">
      <c r="B43" s="145"/>
    </row>
    <row r="45" spans="2:9">
      <c r="B45" s="14" t="s">
        <v>582</v>
      </c>
      <c r="I45" s="105"/>
    </row>
    <row r="46" spans="2:9">
      <c r="B46" s="56" t="s">
        <v>583</v>
      </c>
      <c r="I46" s="105"/>
    </row>
    <row r="47" spans="2:9" ht="43.5">
      <c r="B47" s="146"/>
      <c r="C47" s="155" t="s">
        <v>584</v>
      </c>
      <c r="I47" s="105"/>
    </row>
    <row r="48" spans="2:9">
      <c r="B48" s="46" t="s">
        <v>585</v>
      </c>
      <c r="C48" s="106">
        <f>'Solar + Storage'!Q50+'Solar + Storage'!Q51</f>
        <v>23872.522392617218</v>
      </c>
      <c r="I48" s="105"/>
    </row>
    <row r="49" spans="2:9">
      <c r="B49" s="46" t="s">
        <v>574</v>
      </c>
      <c r="C49" s="140">
        <f>'Host Customer by DER Matrix'!D10</f>
        <v>0.15</v>
      </c>
      <c r="I49" s="105"/>
    </row>
    <row r="50" spans="2:9">
      <c r="B50" s="46" t="s">
        <v>575</v>
      </c>
      <c r="C50" s="106">
        <f>C49*C48</f>
        <v>3580.8783588925826</v>
      </c>
      <c r="D50" s="6"/>
    </row>
    <row r="51" spans="2:9">
      <c r="B51" s="46" t="s">
        <v>576</v>
      </c>
      <c r="C51" s="42">
        <v>25</v>
      </c>
    </row>
    <row r="52" spans="2:9">
      <c r="B52" s="46" t="s">
        <v>577</v>
      </c>
      <c r="C52" s="106">
        <f>-PMT(0.02,C51,C50)</f>
        <v>183.41415946183898</v>
      </c>
    </row>
    <row r="53" spans="2:9">
      <c r="B53" s="46" t="s">
        <v>586</v>
      </c>
      <c r="C53" s="153">
        <f>'Solar + Storage'!AQ72/C51</f>
        <v>4322.2344454100221</v>
      </c>
    </row>
    <row r="54" spans="2:9">
      <c r="B54" s="46" t="s">
        <v>569</v>
      </c>
      <c r="C54" s="144">
        <f>C52/C53</f>
        <v>4.2435032569002551E-2</v>
      </c>
    </row>
    <row r="55" spans="2:9">
      <c r="B55"/>
      <c r="C55" s="138"/>
    </row>
    <row r="56" spans="2:9">
      <c r="B56"/>
    </row>
  </sheetData>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10FA9-1476-4E89-8B3D-ABEE254BB566}">
  <sheetPr>
    <tabColor theme="3" tint="0.749992370372631"/>
  </sheetPr>
  <dimension ref="A1:CF49"/>
  <sheetViews>
    <sheetView zoomScale="76" zoomScaleNormal="76" workbookViewId="0">
      <selection activeCell="AC20" sqref="AC20"/>
    </sheetView>
  </sheetViews>
  <sheetFormatPr defaultRowHeight="14.45"/>
  <cols>
    <col min="2" max="3" width="0" hidden="1" customWidth="1"/>
    <col min="8" max="8" width="12.42578125" customWidth="1"/>
    <col min="9" max="10" width="0" hidden="1" customWidth="1"/>
    <col min="13" max="13" width="11.5703125" customWidth="1"/>
    <col min="14" max="15" width="8.85546875" customWidth="1"/>
    <col min="16" max="16" width="11.42578125" bestFit="1" customWidth="1"/>
    <col min="17" max="17" width="11.42578125" customWidth="1"/>
    <col min="18" max="21" width="0" hidden="1" customWidth="1"/>
  </cols>
  <sheetData>
    <row r="1" spans="1:84" ht="18.600000000000001">
      <c r="A1" s="190" t="s">
        <v>587</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c r="AT1" s="174"/>
      <c r="AU1" s="174"/>
      <c r="AV1" s="174"/>
      <c r="AW1" s="174"/>
      <c r="AX1" s="174"/>
      <c r="AY1" s="174"/>
      <c r="AZ1" s="174"/>
      <c r="BA1" s="174"/>
      <c r="BB1" s="174"/>
      <c r="BC1" s="174"/>
      <c r="BD1" s="174"/>
      <c r="BE1" s="174"/>
      <c r="BF1" s="174"/>
      <c r="BG1" s="174"/>
      <c r="BH1" s="174"/>
      <c r="BI1" s="174"/>
      <c r="BJ1" s="174"/>
      <c r="BK1" s="174"/>
      <c r="BL1" s="174"/>
      <c r="BM1" s="174"/>
      <c r="BN1" s="174"/>
      <c r="BO1" s="174"/>
    </row>
    <row r="2" spans="1:84">
      <c r="A2" s="180" t="s">
        <v>588</v>
      </c>
      <c r="B2" s="180"/>
      <c r="C2" s="181"/>
      <c r="D2" s="180"/>
    </row>
    <row r="4" spans="1:84">
      <c r="P4" s="194"/>
      <c r="Q4" s="194"/>
      <c r="R4" s="194"/>
      <c r="S4" s="194"/>
      <c r="T4" s="194"/>
    </row>
    <row r="5" spans="1:84" ht="101.45">
      <c r="B5" s="179" t="s">
        <v>589</v>
      </c>
      <c r="C5" s="179" t="s">
        <v>590</v>
      </c>
      <c r="D5" s="182" t="s">
        <v>591</v>
      </c>
      <c r="E5" s="182" t="s">
        <v>592</v>
      </c>
      <c r="F5" s="182" t="s">
        <v>593</v>
      </c>
      <c r="G5" s="182" t="s">
        <v>594</v>
      </c>
      <c r="H5" s="182" t="s">
        <v>595</v>
      </c>
      <c r="I5" s="182" t="s">
        <v>596</v>
      </c>
      <c r="J5" s="182" t="s">
        <v>597</v>
      </c>
      <c r="K5" s="182" t="s">
        <v>598</v>
      </c>
      <c r="L5" s="184" t="s">
        <v>599</v>
      </c>
      <c r="N5" s="182" t="s">
        <v>600</v>
      </c>
      <c r="P5" s="35" t="s">
        <v>601</v>
      </c>
      <c r="Q5" s="35" t="s">
        <v>602</v>
      </c>
      <c r="R5" s="35" t="s">
        <v>603</v>
      </c>
      <c r="S5" s="35" t="s">
        <v>604</v>
      </c>
      <c r="T5" s="35" t="s">
        <v>605</v>
      </c>
      <c r="V5" s="35" t="s">
        <v>603</v>
      </c>
      <c r="W5" s="35" t="s">
        <v>604</v>
      </c>
      <c r="X5" s="35" t="s">
        <v>605</v>
      </c>
    </row>
    <row r="6" spans="1:84">
      <c r="A6" s="171">
        <v>2025</v>
      </c>
      <c r="D6" s="176">
        <v>387.42000000000007</v>
      </c>
      <c r="E6" s="171">
        <v>271</v>
      </c>
      <c r="F6" s="171">
        <v>95</v>
      </c>
      <c r="G6" s="177">
        <v>176</v>
      </c>
      <c r="H6" s="172">
        <v>68185920.000000015</v>
      </c>
      <c r="I6" s="171"/>
      <c r="K6" s="171">
        <v>539.9</v>
      </c>
      <c r="L6" s="185">
        <v>126.29360992776442</v>
      </c>
      <c r="N6" s="191">
        <v>0.12629360992776442</v>
      </c>
      <c r="P6" s="11">
        <f>D6*F6</f>
        <v>36804.900000000009</v>
      </c>
      <c r="Q6" s="19">
        <f>P6/K6</f>
        <v>68.169846267827396</v>
      </c>
      <c r="R6" s="192">
        <v>103.55138463437837</v>
      </c>
      <c r="S6" s="133">
        <f>R6-Q6</f>
        <v>35.38153836655097</v>
      </c>
      <c r="T6" s="169">
        <f>Q6/R6</f>
        <v>0.65831902208283422</v>
      </c>
      <c r="V6" s="192">
        <v>98.119115549376943</v>
      </c>
      <c r="W6" s="133">
        <f>V6-Q6</f>
        <v>29.949269281549547</v>
      </c>
      <c r="X6" s="169">
        <f>Q6/V6</f>
        <v>0.69476621233425162</v>
      </c>
    </row>
    <row r="7" spans="1:84">
      <c r="A7">
        <v>2026</v>
      </c>
      <c r="D7" s="173">
        <v>661.51000000000022</v>
      </c>
      <c r="E7">
        <v>275</v>
      </c>
      <c r="F7">
        <v>110</v>
      </c>
      <c r="G7" s="3">
        <v>165</v>
      </c>
      <c r="H7" s="170">
        <v>109149150.00000004</v>
      </c>
      <c r="K7">
        <v>645.88999999999942</v>
      </c>
      <c r="L7" s="178">
        <v>168.99030794717387</v>
      </c>
      <c r="M7" s="133"/>
      <c r="N7" s="191">
        <v>0.16899030794717387</v>
      </c>
      <c r="P7" s="11">
        <f t="shared" ref="P7:P31" si="0">D7*F7</f>
        <v>72766.10000000002</v>
      </c>
      <c r="Q7" s="19">
        <f t="shared" ref="Q7:Q31" si="1">P7/K7</f>
        <v>112.66020529811591</v>
      </c>
      <c r="R7" s="193">
        <v>131.64467274939022</v>
      </c>
      <c r="S7" s="133">
        <f t="shared" ref="S7:S31" si="2">R7-Q7</f>
        <v>18.984467451274313</v>
      </c>
      <c r="T7" s="169">
        <f t="shared" ref="T7:T31" si="3">Q7/R7</f>
        <v>0.85579008208395391</v>
      </c>
      <c r="V7" s="193">
        <v>136.90126985705484</v>
      </c>
      <c r="W7" s="133">
        <f t="shared" ref="W7:W31" si="4">V7-Q7</f>
        <v>24.24106455893893</v>
      </c>
      <c r="X7" s="169">
        <f t="shared" ref="X7:X31" si="5">Q7/V7</f>
        <v>0.82293031624724744</v>
      </c>
    </row>
    <row r="8" spans="1:84">
      <c r="A8">
        <v>2027</v>
      </c>
      <c r="D8" s="173">
        <v>730.67000000000007</v>
      </c>
      <c r="E8">
        <v>280</v>
      </c>
      <c r="F8">
        <v>125</v>
      </c>
      <c r="G8" s="3">
        <v>155</v>
      </c>
      <c r="H8" s="170">
        <v>113253850</v>
      </c>
      <c r="K8">
        <v>781.48999999999978</v>
      </c>
      <c r="L8" s="178">
        <v>144.92040845052404</v>
      </c>
      <c r="M8" s="133"/>
      <c r="N8" s="191">
        <v>0.14492040845052404</v>
      </c>
      <c r="P8" s="11">
        <f t="shared" si="0"/>
        <v>91333.750000000015</v>
      </c>
      <c r="Q8" s="19">
        <f t="shared" si="1"/>
        <v>116.87129713751941</v>
      </c>
      <c r="R8" s="193">
        <v>151.38154673102105</v>
      </c>
      <c r="S8" s="133">
        <f t="shared" si="2"/>
        <v>34.510249593501641</v>
      </c>
      <c r="T8" s="169">
        <f t="shared" si="3"/>
        <v>0.772031331831875</v>
      </c>
      <c r="V8" s="193">
        <v>140.62572682383305</v>
      </c>
      <c r="W8" s="133">
        <f t="shared" si="4"/>
        <v>23.754429686313642</v>
      </c>
      <c r="X8" s="169">
        <f t="shared" si="5"/>
        <v>0.83108048418429381</v>
      </c>
      <c r="AI8">
        <v>2023</v>
      </c>
      <c r="AJ8">
        <v>2024</v>
      </c>
      <c r="AK8">
        <v>2025</v>
      </c>
      <c r="AL8">
        <v>2026</v>
      </c>
      <c r="AM8">
        <v>2027</v>
      </c>
      <c r="AN8">
        <v>2028</v>
      </c>
      <c r="AO8">
        <v>2029</v>
      </c>
      <c r="AP8">
        <v>2030</v>
      </c>
      <c r="AQ8">
        <v>2031</v>
      </c>
      <c r="AR8">
        <v>2032</v>
      </c>
      <c r="AS8">
        <v>2033</v>
      </c>
      <c r="AT8">
        <v>2034</v>
      </c>
      <c r="AU8">
        <v>2035</v>
      </c>
      <c r="AV8">
        <v>2036</v>
      </c>
      <c r="AW8">
        <v>2037</v>
      </c>
      <c r="AX8">
        <v>2038</v>
      </c>
      <c r="AY8">
        <v>2039</v>
      </c>
      <c r="AZ8">
        <v>2040</v>
      </c>
      <c r="BA8">
        <v>2041</v>
      </c>
      <c r="BB8">
        <v>2042</v>
      </c>
      <c r="BC8">
        <v>2043</v>
      </c>
      <c r="BD8">
        <v>2044</v>
      </c>
      <c r="BE8">
        <v>2045</v>
      </c>
      <c r="BF8">
        <v>2046</v>
      </c>
      <c r="BG8">
        <v>2047</v>
      </c>
      <c r="BH8">
        <v>2048</v>
      </c>
      <c r="BI8">
        <v>2049</v>
      </c>
      <c r="BJ8">
        <v>2050</v>
      </c>
      <c r="BK8">
        <v>2051</v>
      </c>
      <c r="BL8">
        <v>2052</v>
      </c>
      <c r="BM8">
        <v>2053</v>
      </c>
      <c r="BN8">
        <v>2054</v>
      </c>
      <c r="BO8">
        <v>2055</v>
      </c>
      <c r="BP8">
        <v>2056</v>
      </c>
      <c r="BQ8">
        <v>2057</v>
      </c>
      <c r="BR8">
        <v>2058</v>
      </c>
      <c r="BS8">
        <v>2059</v>
      </c>
      <c r="BT8">
        <v>2060</v>
      </c>
      <c r="BU8">
        <v>2061</v>
      </c>
      <c r="BV8">
        <v>2062</v>
      </c>
      <c r="BW8">
        <v>2063</v>
      </c>
      <c r="BX8">
        <v>2064</v>
      </c>
      <c r="BY8">
        <v>2065</v>
      </c>
      <c r="BZ8">
        <v>2066</v>
      </c>
      <c r="CA8">
        <v>2067</v>
      </c>
      <c r="CB8">
        <v>2068</v>
      </c>
      <c r="CC8">
        <v>2069</v>
      </c>
      <c r="CD8">
        <v>2070</v>
      </c>
      <c r="CE8">
        <v>2071</v>
      </c>
      <c r="CF8">
        <v>2072</v>
      </c>
    </row>
    <row r="9" spans="1:84">
      <c r="A9">
        <v>2028</v>
      </c>
      <c r="D9" s="173">
        <v>696.25</v>
      </c>
      <c r="E9">
        <v>285</v>
      </c>
      <c r="F9">
        <v>140</v>
      </c>
      <c r="G9" s="3">
        <v>145</v>
      </c>
      <c r="H9" s="170">
        <v>100956250</v>
      </c>
      <c r="K9">
        <v>932.27999999999884</v>
      </c>
      <c r="L9" s="178">
        <v>108.28962328914074</v>
      </c>
      <c r="N9" s="191">
        <v>0.10828962328914074</v>
      </c>
      <c r="P9" s="11">
        <f t="shared" si="0"/>
        <v>97475</v>
      </c>
      <c r="Q9" s="19">
        <f t="shared" si="1"/>
        <v>104.55549834813588</v>
      </c>
      <c r="R9" s="193">
        <v>143.31664014804551</v>
      </c>
      <c r="S9" s="133">
        <f t="shared" si="2"/>
        <v>38.761141799909623</v>
      </c>
      <c r="T9" s="169">
        <f t="shared" si="3"/>
        <v>0.72954193065181039</v>
      </c>
      <c r="V9" s="193">
        <v>173.81464311669396</v>
      </c>
      <c r="W9" s="133">
        <f t="shared" si="4"/>
        <v>69.259144768558073</v>
      </c>
      <c r="X9" s="169">
        <f t="shared" si="5"/>
        <v>0.60153446495264751</v>
      </c>
      <c r="AH9" t="s">
        <v>606</v>
      </c>
      <c r="AI9">
        <v>0.15157837037037045</v>
      </c>
      <c r="AJ9">
        <v>0.15157837037037045</v>
      </c>
      <c r="AK9">
        <v>0.15157837037037045</v>
      </c>
      <c r="AL9">
        <v>0.13814259796806966</v>
      </c>
      <c r="AM9">
        <v>9.9477558139534905E-2</v>
      </c>
      <c r="AN9">
        <v>6.2371365422396838E-2</v>
      </c>
      <c r="AO9">
        <v>3.0612257479601088E-2</v>
      </c>
      <c r="AP9">
        <v>8.67205128205128E-3</v>
      </c>
      <c r="AQ9">
        <v>-1.0463774323546346E-2</v>
      </c>
      <c r="AR9">
        <v>-1.0733392363067293E-2</v>
      </c>
      <c r="AS9">
        <v>-8.0027111648309137E-3</v>
      </c>
      <c r="AT9">
        <v>6.6265554577736206E-4</v>
      </c>
      <c r="AU9">
        <v>4.7172949549378297E-3</v>
      </c>
      <c r="AV9">
        <v>5.3659580511140424E-3</v>
      </c>
      <c r="AW9">
        <v>8.3700522103419116E-3</v>
      </c>
      <c r="AX9">
        <v>1.1372898721900402E-2</v>
      </c>
      <c r="AY9">
        <v>1.5745217591475343E-2</v>
      </c>
      <c r="AZ9">
        <v>1.6401177469610395E-2</v>
      </c>
      <c r="BA9">
        <v>1.648076394827741E-2</v>
      </c>
      <c r="BB9">
        <v>2.0364894119417765E-2</v>
      </c>
      <c r="BC9">
        <v>2.3903705228746387E-2</v>
      </c>
      <c r="BD9">
        <v>2.6752755500739977E-2</v>
      </c>
      <c r="BE9">
        <v>2.8916677816915395E-2</v>
      </c>
      <c r="BF9">
        <v>3.0327509721807297E-2</v>
      </c>
      <c r="BG9">
        <v>2.9962394804946103E-2</v>
      </c>
      <c r="BH9">
        <v>3.1825300283299537E-2</v>
      </c>
      <c r="BI9">
        <v>3.0086164174425799E-2</v>
      </c>
      <c r="BJ9">
        <v>2.8313703392249749E-2</v>
      </c>
      <c r="BK9">
        <v>2.8313703392249749E-2</v>
      </c>
      <c r="BL9">
        <v>2.8313703392249749E-2</v>
      </c>
      <c r="BM9">
        <v>2.8313703392249749E-2</v>
      </c>
      <c r="BN9">
        <v>2.8313703392249749E-2</v>
      </c>
      <c r="BO9">
        <v>2.8313703392249749E-2</v>
      </c>
      <c r="BP9">
        <v>2.8313703392249749E-2</v>
      </c>
      <c r="BQ9">
        <v>2.8313703392249749E-2</v>
      </c>
      <c r="BR9">
        <v>2.8313703392249749E-2</v>
      </c>
      <c r="BS9">
        <v>2.8313703392249749E-2</v>
      </c>
      <c r="BT9">
        <v>2.8313703392249749E-2</v>
      </c>
      <c r="BU9">
        <v>2.8313703392249749E-2</v>
      </c>
      <c r="BV9">
        <v>2.8313703392249749E-2</v>
      </c>
      <c r="BW9">
        <v>2.8313703392249749E-2</v>
      </c>
      <c r="BX9">
        <v>2.8313703392249749E-2</v>
      </c>
      <c r="BY9">
        <v>2.8313703392249749E-2</v>
      </c>
      <c r="BZ9">
        <v>2.8313703392249749E-2</v>
      </c>
      <c r="CA9">
        <v>2.8313703392249749E-2</v>
      </c>
      <c r="CB9">
        <v>2.8313703392249749E-2</v>
      </c>
      <c r="CC9">
        <v>2.8313703392249749E-2</v>
      </c>
      <c r="CD9">
        <v>2.8313703392249749E-2</v>
      </c>
      <c r="CE9">
        <v>2.8313703392249749E-2</v>
      </c>
      <c r="CF9">
        <v>2.8313703392249749E-2</v>
      </c>
    </row>
    <row r="10" spans="1:84">
      <c r="A10">
        <v>2029</v>
      </c>
      <c r="D10" s="173">
        <v>661.54999999999973</v>
      </c>
      <c r="E10">
        <v>289</v>
      </c>
      <c r="F10">
        <v>155</v>
      </c>
      <c r="G10" s="3">
        <v>134</v>
      </c>
      <c r="H10" s="170">
        <v>88647699.99999997</v>
      </c>
      <c r="K10">
        <v>1136.7199999999993</v>
      </c>
      <c r="L10" s="178">
        <v>77.985519741009242</v>
      </c>
      <c r="N10" s="191">
        <v>7.7985519741009243E-2</v>
      </c>
      <c r="P10" s="11">
        <f t="shared" si="0"/>
        <v>102540.24999999996</v>
      </c>
      <c r="Q10" s="19">
        <f t="shared" si="1"/>
        <v>90.207131043704706</v>
      </c>
      <c r="R10" s="193">
        <v>111.66511317903644</v>
      </c>
      <c r="S10" s="133">
        <f t="shared" si="2"/>
        <v>21.457982135331733</v>
      </c>
      <c r="T10" s="169">
        <f t="shared" si="3"/>
        <v>0.80783629260351508</v>
      </c>
      <c r="V10" s="193">
        <v>146.60845040546928</v>
      </c>
      <c r="W10" s="133">
        <f t="shared" si="4"/>
        <v>56.401319361764578</v>
      </c>
      <c r="X10" s="169">
        <f t="shared" si="5"/>
        <v>0.61529284836053011</v>
      </c>
    </row>
    <row r="11" spans="1:84">
      <c r="A11">
        <v>2030</v>
      </c>
      <c r="D11" s="173">
        <v>593.44000000000005</v>
      </c>
      <c r="E11">
        <v>294</v>
      </c>
      <c r="F11">
        <v>170</v>
      </c>
      <c r="G11" s="3">
        <v>124</v>
      </c>
      <c r="H11" s="170">
        <v>73586560.000000015</v>
      </c>
      <c r="K11">
        <v>1259.2999999999993</v>
      </c>
      <c r="L11" s="178">
        <v>58.434495354562102</v>
      </c>
      <c r="N11" s="191">
        <v>5.8434495354562105E-2</v>
      </c>
      <c r="P11" s="11">
        <f t="shared" si="0"/>
        <v>100884.8</v>
      </c>
      <c r="Q11" s="19">
        <f t="shared" si="1"/>
        <v>80.111808147383513</v>
      </c>
      <c r="R11" s="193">
        <v>150.4396980970659</v>
      </c>
      <c r="S11" s="133">
        <f t="shared" si="2"/>
        <v>70.327889949682387</v>
      </c>
      <c r="T11" s="168">
        <f t="shared" si="3"/>
        <v>0.53251774073419234</v>
      </c>
      <c r="V11" s="193">
        <v>96.357439926048713</v>
      </c>
      <c r="W11" s="133">
        <f t="shared" si="4"/>
        <v>16.245631778665199</v>
      </c>
      <c r="X11" s="169">
        <f t="shared" si="5"/>
        <v>0.83140241385477642</v>
      </c>
    </row>
    <row r="12" spans="1:84">
      <c r="A12">
        <v>2031</v>
      </c>
      <c r="D12" s="173">
        <v>556.21</v>
      </c>
      <c r="E12">
        <v>299</v>
      </c>
      <c r="F12" s="3">
        <v>173.4</v>
      </c>
      <c r="G12" s="3">
        <v>125.6</v>
      </c>
      <c r="H12" s="170">
        <v>69859976</v>
      </c>
      <c r="K12">
        <v>1337.1900000000005</v>
      </c>
      <c r="L12" s="178">
        <v>52.243866615813744</v>
      </c>
      <c r="N12" s="191">
        <v>5.2243866615813747E-2</v>
      </c>
      <c r="P12" s="11">
        <f t="shared" si="0"/>
        <v>96446.814000000013</v>
      </c>
      <c r="Q12" s="19">
        <f t="shared" si="1"/>
        <v>72.126484643169618</v>
      </c>
      <c r="R12" s="193">
        <v>150.42217025636174</v>
      </c>
      <c r="S12" s="133">
        <f t="shared" si="2"/>
        <v>78.29568561319212</v>
      </c>
      <c r="T12" s="168">
        <f t="shared" si="3"/>
        <v>0.47949371106829386</v>
      </c>
      <c r="V12" s="193">
        <v>74.244319548613376</v>
      </c>
      <c r="W12" s="133">
        <f t="shared" si="4"/>
        <v>2.1178349054437575</v>
      </c>
      <c r="X12" s="169">
        <f t="shared" si="5"/>
        <v>0.97147478866639692</v>
      </c>
    </row>
    <row r="13" spans="1:84">
      <c r="A13">
        <v>2032</v>
      </c>
      <c r="D13" s="173">
        <v>622.98000000000013</v>
      </c>
      <c r="E13">
        <v>303</v>
      </c>
      <c r="F13" s="3">
        <v>176.86799999999999</v>
      </c>
      <c r="G13" s="3">
        <v>126.13200000000001</v>
      </c>
      <c r="H13" s="170">
        <v>78577713.360000029</v>
      </c>
      <c r="K13">
        <v>1457.4799999999996</v>
      </c>
      <c r="L13" s="178">
        <v>53.913407635096227</v>
      </c>
      <c r="N13" s="191">
        <v>5.3913407635096229E-2</v>
      </c>
      <c r="P13" s="11">
        <f t="shared" si="0"/>
        <v>110185.22664000002</v>
      </c>
      <c r="Q13" s="19">
        <f t="shared" si="1"/>
        <v>75.599820676784631</v>
      </c>
      <c r="R13" s="193">
        <v>148.837479872762</v>
      </c>
      <c r="S13" s="133">
        <f t="shared" si="2"/>
        <v>73.237659195977372</v>
      </c>
      <c r="T13" s="168">
        <f t="shared" si="3"/>
        <v>0.50793537179891324</v>
      </c>
      <c r="V13" s="193">
        <v>83.986032675313169</v>
      </c>
      <c r="W13" s="133">
        <f t="shared" si="4"/>
        <v>8.3862119985285375</v>
      </c>
      <c r="X13" s="169">
        <f t="shared" si="5"/>
        <v>0.90014753963972416</v>
      </c>
    </row>
    <row r="14" spans="1:84">
      <c r="A14">
        <v>2033</v>
      </c>
      <c r="D14" s="173">
        <v>349.90000000000009</v>
      </c>
      <c r="E14">
        <v>308</v>
      </c>
      <c r="F14" s="3">
        <v>180.40536</v>
      </c>
      <c r="G14" s="3">
        <v>127.59464</v>
      </c>
      <c r="H14" s="170">
        <v>44645364.536000006</v>
      </c>
      <c r="K14">
        <v>1690.6100000000006</v>
      </c>
      <c r="L14" s="178">
        <v>26.407843639869629</v>
      </c>
      <c r="N14" s="191">
        <v>2.640784363986963E-2</v>
      </c>
      <c r="P14" s="11">
        <f t="shared" si="0"/>
        <v>63123.835464000018</v>
      </c>
      <c r="Q14" s="19">
        <f t="shared" si="1"/>
        <v>37.337904936088158</v>
      </c>
      <c r="R14" s="193">
        <v>100.32754862287034</v>
      </c>
      <c r="S14" s="133">
        <f t="shared" si="2"/>
        <v>62.989643686782181</v>
      </c>
      <c r="T14" s="168">
        <f t="shared" si="3"/>
        <v>0.37216004426103094</v>
      </c>
      <c r="V14" s="193">
        <v>89.814575783863376</v>
      </c>
      <c r="W14" s="133">
        <f t="shared" si="4"/>
        <v>52.476670847775218</v>
      </c>
      <c r="X14" s="169">
        <f t="shared" si="5"/>
        <v>0.41572210980477081</v>
      </c>
    </row>
    <row r="15" spans="1:84">
      <c r="A15">
        <v>2034</v>
      </c>
      <c r="D15" s="173">
        <v>527.45000000000005</v>
      </c>
      <c r="E15">
        <v>313</v>
      </c>
      <c r="F15" s="3">
        <v>184.01346720000001</v>
      </c>
      <c r="G15" s="3">
        <v>128.98653279999999</v>
      </c>
      <c r="H15" s="170">
        <v>68033946.725360006</v>
      </c>
      <c r="K15">
        <v>1757</v>
      </c>
      <c r="L15" s="178">
        <v>38.721654368446217</v>
      </c>
      <c r="N15" s="191">
        <v>3.8721654368446219E-2</v>
      </c>
      <c r="P15" s="11">
        <f t="shared" si="0"/>
        <v>97057.903274640019</v>
      </c>
      <c r="Q15" s="19">
        <f t="shared" si="1"/>
        <v>55.240696229163355</v>
      </c>
      <c r="R15" s="193">
        <v>127.20009773454106</v>
      </c>
      <c r="S15" s="133">
        <f t="shared" si="2"/>
        <v>71.959401505377713</v>
      </c>
      <c r="T15" s="168">
        <f t="shared" si="3"/>
        <v>0.43428186937754842</v>
      </c>
      <c r="V15" s="193">
        <v>118.66593828864306</v>
      </c>
      <c r="W15" s="133">
        <f t="shared" si="4"/>
        <v>63.425242059479707</v>
      </c>
      <c r="X15" s="169">
        <f t="shared" si="5"/>
        <v>0.46551434241219136</v>
      </c>
    </row>
    <row r="16" spans="1:84">
      <c r="A16">
        <v>2035</v>
      </c>
      <c r="D16" s="173">
        <v>169.40999999999997</v>
      </c>
      <c r="E16">
        <v>317</v>
      </c>
      <c r="F16" s="3">
        <v>187.69373654400002</v>
      </c>
      <c r="G16" s="3">
        <v>129.30626345599998</v>
      </c>
      <c r="H16" s="170">
        <v>21905774.092080951</v>
      </c>
      <c r="K16">
        <v>1867.2999999999993</v>
      </c>
      <c r="L16" s="178">
        <v>11.731255873229239</v>
      </c>
      <c r="N16" s="191">
        <v>1.1731255873229238E-2</v>
      </c>
      <c r="P16" s="11">
        <f t="shared" si="0"/>
        <v>31797.195907919038</v>
      </c>
      <c r="Q16" s="19">
        <f t="shared" si="1"/>
        <v>17.02843458893539</v>
      </c>
      <c r="R16" s="193">
        <v>94.217157643485152</v>
      </c>
      <c r="S16" s="133">
        <f t="shared" si="2"/>
        <v>77.188723054549769</v>
      </c>
      <c r="T16" s="168">
        <f t="shared" si="3"/>
        <v>0.18073602531473584</v>
      </c>
      <c r="V16" s="193">
        <v>125.63994683639874</v>
      </c>
      <c r="W16" s="133">
        <f t="shared" si="4"/>
        <v>108.61151224746334</v>
      </c>
      <c r="X16" s="169">
        <f t="shared" si="5"/>
        <v>0.13553360231128447</v>
      </c>
    </row>
    <row r="17" spans="1:24">
      <c r="A17">
        <v>2036</v>
      </c>
      <c r="D17" s="173">
        <v>156.94000000000005</v>
      </c>
      <c r="E17">
        <v>322</v>
      </c>
      <c r="F17" s="3">
        <v>191.44761127488002</v>
      </c>
      <c r="G17" s="3">
        <v>130.55238872511998</v>
      </c>
      <c r="H17" s="170">
        <v>20488891.886520337</v>
      </c>
      <c r="K17">
        <v>2051.2099999999991</v>
      </c>
      <c r="L17" s="178">
        <v>9.9886856472620291</v>
      </c>
      <c r="N17" s="191">
        <v>9.9886856472620293E-3</v>
      </c>
      <c r="P17" s="11">
        <f t="shared" si="0"/>
        <v>30045.788113479681</v>
      </c>
      <c r="Q17" s="19">
        <f t="shared" si="1"/>
        <v>14.647836210568247</v>
      </c>
      <c r="R17" s="193">
        <v>87.456600637333082</v>
      </c>
      <c r="S17" s="133">
        <f t="shared" si="2"/>
        <v>72.808764426764839</v>
      </c>
      <c r="T17" s="168">
        <f t="shared" si="3"/>
        <v>0.16748691469624127</v>
      </c>
      <c r="V17" s="193">
        <v>118.85263879675065</v>
      </c>
      <c r="W17" s="133">
        <f t="shared" si="4"/>
        <v>104.20480258618241</v>
      </c>
      <c r="X17" s="169">
        <f t="shared" si="5"/>
        <v>0.1232436768662532</v>
      </c>
    </row>
    <row r="18" spans="1:24">
      <c r="A18">
        <v>2037</v>
      </c>
      <c r="D18" s="173">
        <v>167.78999999999996</v>
      </c>
      <c r="E18">
        <v>327</v>
      </c>
      <c r="F18" s="3">
        <v>195.27656350037762</v>
      </c>
      <c r="G18" s="3">
        <v>131.72343649962238</v>
      </c>
      <c r="H18" s="170">
        <v>22101875.410271633</v>
      </c>
      <c r="K18">
        <v>2133.1400000000012</v>
      </c>
      <c r="L18" s="178">
        <v>10.361193081687849</v>
      </c>
      <c r="N18" s="191">
        <v>1.0361193081687849E-2</v>
      </c>
      <c r="P18" s="11">
        <f t="shared" si="0"/>
        <v>32765.454589728353</v>
      </c>
      <c r="Q18" s="19">
        <f t="shared" si="1"/>
        <v>15.360198856956568</v>
      </c>
      <c r="R18" s="193">
        <v>95.930830568796694</v>
      </c>
      <c r="S18" s="133">
        <f t="shared" si="2"/>
        <v>80.570631711840122</v>
      </c>
      <c r="T18" s="168">
        <f t="shared" si="3"/>
        <v>0.16011743842810802</v>
      </c>
      <c r="V18" s="193">
        <v>119.00420599118965</v>
      </c>
      <c r="W18" s="133">
        <f t="shared" si="4"/>
        <v>103.64400713423308</v>
      </c>
      <c r="X18" s="169">
        <f t="shared" si="5"/>
        <v>0.12907273931220334</v>
      </c>
    </row>
    <row r="19" spans="1:24">
      <c r="A19">
        <v>2038</v>
      </c>
      <c r="D19" s="173">
        <v>167.88</v>
      </c>
      <c r="E19">
        <v>331</v>
      </c>
      <c r="F19" s="3">
        <v>199.18209477038516</v>
      </c>
      <c r="G19" s="3">
        <v>131.81790522961484</v>
      </c>
      <c r="H19" s="170">
        <v>22129589.929947738</v>
      </c>
      <c r="K19">
        <v>2224.6500000000015</v>
      </c>
      <c r="L19" s="178">
        <v>9.9474478816657559</v>
      </c>
      <c r="N19" s="191">
        <v>9.9474478816657559E-3</v>
      </c>
      <c r="P19" s="11">
        <f t="shared" si="0"/>
        <v>33438.69007005226</v>
      </c>
      <c r="Q19" s="19">
        <f t="shared" si="1"/>
        <v>15.030989175848893</v>
      </c>
      <c r="R19" s="193">
        <v>85.272990749565494</v>
      </c>
      <c r="S19" s="133">
        <f t="shared" si="2"/>
        <v>70.242001573716607</v>
      </c>
      <c r="T19" s="168">
        <f t="shared" si="3"/>
        <v>0.17626905124030123</v>
      </c>
      <c r="V19" s="193">
        <v>111.89357200682073</v>
      </c>
      <c r="W19" s="133">
        <f t="shared" si="4"/>
        <v>96.862582830971846</v>
      </c>
      <c r="X19" s="169">
        <f t="shared" si="5"/>
        <v>0.13433291033851921</v>
      </c>
    </row>
    <row r="20" spans="1:24">
      <c r="A20">
        <v>2039</v>
      </c>
      <c r="D20" s="173">
        <v>150.23000000000002</v>
      </c>
      <c r="E20">
        <v>336</v>
      </c>
      <c r="F20" s="3">
        <v>203.16573666579288</v>
      </c>
      <c r="G20" s="3">
        <v>132.83426333420712</v>
      </c>
      <c r="H20" s="170">
        <v>19955691.38069794</v>
      </c>
      <c r="K20">
        <v>2270.6299999999992</v>
      </c>
      <c r="L20" s="178">
        <v>8.7886143408208071</v>
      </c>
      <c r="N20" s="191">
        <v>8.7886143408208075E-3</v>
      </c>
      <c r="P20" s="11">
        <f t="shared" si="0"/>
        <v>30521.588619302067</v>
      </c>
      <c r="Q20" s="19">
        <f t="shared" si="1"/>
        <v>13.441903180748108</v>
      </c>
      <c r="R20" s="193">
        <v>83.149366976918529</v>
      </c>
      <c r="S20" s="133">
        <f t="shared" si="2"/>
        <v>69.707463796170416</v>
      </c>
      <c r="T20" s="168">
        <f t="shared" si="3"/>
        <v>0.16165971755959913</v>
      </c>
      <c r="V20" s="193">
        <v>115.66298262802907</v>
      </c>
      <c r="W20" s="133">
        <f t="shared" si="4"/>
        <v>102.22107944728096</v>
      </c>
      <c r="X20" s="169">
        <f t="shared" si="5"/>
        <v>0.11621612096911876</v>
      </c>
    </row>
    <row r="21" spans="1:24">
      <c r="A21">
        <v>2040</v>
      </c>
      <c r="D21" s="173">
        <v>107.22000000000003</v>
      </c>
      <c r="E21">
        <v>341</v>
      </c>
      <c r="F21" s="3">
        <v>207.22905139910873</v>
      </c>
      <c r="G21" s="3">
        <v>133.77094860089127</v>
      </c>
      <c r="H21" s="170">
        <v>14342921.108987566</v>
      </c>
      <c r="K21">
        <v>2293.3000000000011</v>
      </c>
      <c r="L21" s="178">
        <v>6.2542716212390701</v>
      </c>
      <c r="N21" s="191">
        <v>6.2542716212390702E-3</v>
      </c>
      <c r="P21" s="11">
        <f t="shared" si="0"/>
        <v>22219.098891012443</v>
      </c>
      <c r="Q21" s="19">
        <f t="shared" si="1"/>
        <v>9.6887013870895355</v>
      </c>
      <c r="R21" s="193">
        <v>78.940383420840419</v>
      </c>
      <c r="S21" s="133">
        <f t="shared" si="2"/>
        <v>69.251682033750882</v>
      </c>
      <c r="T21" s="168">
        <f t="shared" si="3"/>
        <v>0.12273441003494923</v>
      </c>
      <c r="V21" s="193">
        <v>120.96623053620473</v>
      </c>
      <c r="W21" s="133">
        <f t="shared" si="4"/>
        <v>111.2775291491152</v>
      </c>
      <c r="X21" s="169">
        <f t="shared" si="5"/>
        <v>8.0094265516438848E-2</v>
      </c>
    </row>
    <row r="22" spans="1:24">
      <c r="A22">
        <v>2041</v>
      </c>
      <c r="D22" s="173">
        <v>96.080000000000041</v>
      </c>
      <c r="E22">
        <v>347</v>
      </c>
      <c r="F22" s="3">
        <v>211.37363242709091</v>
      </c>
      <c r="G22" s="3">
        <v>135.62636757290909</v>
      </c>
      <c r="H22" s="170">
        <v>13030981.39640511</v>
      </c>
      <c r="K22">
        <v>2299.6000000000004</v>
      </c>
      <c r="L22" s="178">
        <v>5.6666295861911236</v>
      </c>
      <c r="N22" s="191">
        <v>5.6666295861911237E-3</v>
      </c>
      <c r="P22" s="11">
        <f t="shared" si="0"/>
        <v>20308.778603594903</v>
      </c>
      <c r="Q22" s="19">
        <f t="shared" si="1"/>
        <v>8.8314396432400848</v>
      </c>
      <c r="R22" s="193">
        <v>85.699067320073326</v>
      </c>
      <c r="S22" s="133">
        <f t="shared" si="2"/>
        <v>76.867627676833237</v>
      </c>
      <c r="T22" s="168">
        <f t="shared" si="3"/>
        <v>0.10305175913123961</v>
      </c>
      <c r="V22" s="193">
        <v>116.31141731762904</v>
      </c>
      <c r="W22" s="133">
        <f t="shared" si="4"/>
        <v>107.47997767438895</v>
      </c>
      <c r="X22" s="169">
        <f t="shared" si="5"/>
        <v>7.5929258252633511E-2</v>
      </c>
    </row>
    <row r="23" spans="1:24">
      <c r="A23">
        <v>2042</v>
      </c>
      <c r="D23" s="173">
        <v>124.04999999999995</v>
      </c>
      <c r="E23">
        <v>352</v>
      </c>
      <c r="F23" s="3">
        <v>215.60110507563274</v>
      </c>
      <c r="G23" s="3">
        <v>136.39889492436726</v>
      </c>
      <c r="H23" s="170">
        <v>16920282.915367752</v>
      </c>
      <c r="K23">
        <v>2385</v>
      </c>
      <c r="L23" s="178">
        <v>7.0944582454372132</v>
      </c>
      <c r="N23" s="191">
        <v>7.0944582454372128E-3</v>
      </c>
      <c r="P23" s="11">
        <f t="shared" si="0"/>
        <v>26745.317084632232</v>
      </c>
      <c r="Q23" s="19">
        <f t="shared" si="1"/>
        <v>11.213969427518755</v>
      </c>
      <c r="R23" s="193">
        <v>94.147374141155652</v>
      </c>
      <c r="S23" s="133">
        <f t="shared" si="2"/>
        <v>82.933404713636889</v>
      </c>
      <c r="T23" s="168">
        <f t="shared" si="3"/>
        <v>0.11911080399019512</v>
      </c>
      <c r="V23" s="193">
        <v>123.12399541032302</v>
      </c>
      <c r="W23" s="133">
        <f t="shared" si="4"/>
        <v>111.91002598280426</v>
      </c>
      <c r="X23" s="169">
        <f t="shared" si="5"/>
        <v>9.1078667404733582E-2</v>
      </c>
    </row>
    <row r="24" spans="1:24">
      <c r="A24">
        <v>2043</v>
      </c>
      <c r="D24" s="173">
        <v>134.56000000000006</v>
      </c>
      <c r="E24">
        <v>357</v>
      </c>
      <c r="F24" s="3">
        <v>219.91312717714541</v>
      </c>
      <c r="G24" s="3">
        <v>137.08687282285459</v>
      </c>
      <c r="H24" s="170">
        <v>18446409.607043322</v>
      </c>
      <c r="K24">
        <v>2485.8899999999994</v>
      </c>
      <c r="L24" s="178">
        <v>7.4204448334573634</v>
      </c>
      <c r="N24" s="191">
        <v>7.420444833457363E-3</v>
      </c>
      <c r="P24" s="11">
        <f t="shared" si="0"/>
        <v>29591.510392956701</v>
      </c>
      <c r="Q24" s="19">
        <f t="shared" si="1"/>
        <v>11.903789143106376</v>
      </c>
      <c r="R24" s="193">
        <v>109.22404764823798</v>
      </c>
      <c r="S24" s="133">
        <f t="shared" si="2"/>
        <v>97.320258505131605</v>
      </c>
      <c r="T24" s="168">
        <f t="shared" si="3"/>
        <v>0.10898505777265442</v>
      </c>
      <c r="V24" s="193">
        <v>133.5611040174349</v>
      </c>
      <c r="W24" s="133">
        <f t="shared" si="4"/>
        <v>121.65731487432852</v>
      </c>
      <c r="X24" s="169">
        <f t="shared" si="5"/>
        <v>8.9126166114593286E-2</v>
      </c>
    </row>
    <row r="25" spans="1:24">
      <c r="A25">
        <v>2044</v>
      </c>
      <c r="D25" s="173">
        <v>117.08000000000004</v>
      </c>
      <c r="E25">
        <v>362</v>
      </c>
      <c r="F25" s="3">
        <v>224.31138972068831</v>
      </c>
      <c r="G25" s="3">
        <v>137.68861027931169</v>
      </c>
      <c r="H25" s="170">
        <v>16120582.491501817</v>
      </c>
      <c r="K25">
        <v>2519.630000000001</v>
      </c>
      <c r="L25" s="178">
        <v>6.397995932538433</v>
      </c>
      <c r="N25" s="191">
        <v>6.3979959325384328E-3</v>
      </c>
      <c r="P25" s="11">
        <f t="shared" si="0"/>
        <v>26262.377508498197</v>
      </c>
      <c r="Q25" s="19">
        <f t="shared" si="1"/>
        <v>10.423108753467051</v>
      </c>
      <c r="R25" s="193">
        <v>115.56611037255831</v>
      </c>
      <c r="S25" s="133">
        <f t="shared" si="2"/>
        <v>105.14300161909127</v>
      </c>
      <c r="T25" s="168">
        <f t="shared" si="3"/>
        <v>9.0191741505060333E-2</v>
      </c>
      <c r="V25" s="193">
        <v>147.01144007207259</v>
      </c>
      <c r="W25" s="133">
        <f t="shared" si="4"/>
        <v>136.58833131860553</v>
      </c>
      <c r="X25" s="169">
        <f t="shared" si="5"/>
        <v>7.0899984030882948E-2</v>
      </c>
    </row>
    <row r="26" spans="1:24">
      <c r="A26">
        <v>2045</v>
      </c>
      <c r="D26" s="173">
        <v>134.37</v>
      </c>
      <c r="E26">
        <v>367</v>
      </c>
      <c r="F26" s="3">
        <v>228.79761751510208</v>
      </c>
      <c r="G26" s="3">
        <v>138.20238248489792</v>
      </c>
      <c r="H26" s="170">
        <v>18570254.134495735</v>
      </c>
      <c r="K26">
        <v>2623.4499999999989</v>
      </c>
      <c r="L26" s="178">
        <v>7.0785622498983178</v>
      </c>
      <c r="N26" s="191">
        <v>7.0785622498983182E-3</v>
      </c>
      <c r="P26" s="11">
        <f t="shared" si="0"/>
        <v>30743.535865504266</v>
      </c>
      <c r="Q26" s="19">
        <f t="shared" si="1"/>
        <v>11.718742825479532</v>
      </c>
      <c r="R26" s="193">
        <v>109.7104549824533</v>
      </c>
      <c r="S26" s="133">
        <f t="shared" si="2"/>
        <v>97.991712156973762</v>
      </c>
      <c r="T26" s="168">
        <f t="shared" si="3"/>
        <v>0.10681518755303482</v>
      </c>
      <c r="V26" s="193">
        <v>149.67855129336019</v>
      </c>
      <c r="W26" s="133">
        <f t="shared" si="4"/>
        <v>137.95980846788066</v>
      </c>
      <c r="X26" s="169">
        <f t="shared" si="5"/>
        <v>7.8292732821228089E-2</v>
      </c>
    </row>
    <row r="27" spans="1:24">
      <c r="A27">
        <v>2046</v>
      </c>
      <c r="D27" s="173">
        <v>109.37</v>
      </c>
      <c r="E27">
        <v>372</v>
      </c>
      <c r="F27" s="3">
        <v>233.37356986540411</v>
      </c>
      <c r="G27" s="3">
        <v>138.62643013459589</v>
      </c>
      <c r="H27" s="170">
        <v>15161572.663820755</v>
      </c>
      <c r="K27">
        <v>2625.5400000000009</v>
      </c>
      <c r="L27" s="178">
        <v>5.7746492774136939</v>
      </c>
      <c r="N27" s="191">
        <v>5.7746492774136942E-3</v>
      </c>
      <c r="P27" s="11">
        <f t="shared" si="0"/>
        <v>25524.067336179247</v>
      </c>
      <c r="Q27" s="19">
        <f t="shared" si="1"/>
        <v>9.721454381262232</v>
      </c>
      <c r="R27" s="193">
        <v>100.26873352839269</v>
      </c>
      <c r="S27" s="133">
        <f t="shared" si="2"/>
        <v>90.547279147130453</v>
      </c>
      <c r="T27" s="168">
        <f t="shared" si="3"/>
        <v>9.695399591847291E-2</v>
      </c>
      <c r="V27" s="193">
        <v>157.86343058735056</v>
      </c>
      <c r="W27" s="133">
        <f t="shared" si="4"/>
        <v>148.14197620608834</v>
      </c>
      <c r="X27" s="169">
        <f t="shared" si="5"/>
        <v>6.1581421011138233E-2</v>
      </c>
    </row>
    <row r="28" spans="1:24">
      <c r="A28">
        <v>2047</v>
      </c>
      <c r="D28" s="173">
        <v>128.17000000000007</v>
      </c>
      <c r="E28">
        <v>379</v>
      </c>
      <c r="F28" s="3">
        <v>238.04104126271218</v>
      </c>
      <c r="G28" s="3">
        <v>140.95895873728782</v>
      </c>
      <c r="H28" s="170">
        <v>18066709.741358191</v>
      </c>
      <c r="K28">
        <v>2771.6400000000012</v>
      </c>
      <c r="L28" s="178">
        <v>6.5184186046377528</v>
      </c>
      <c r="N28" s="191">
        <v>6.5184186046377528E-3</v>
      </c>
      <c r="P28" s="11">
        <f t="shared" si="0"/>
        <v>30509.720258641839</v>
      </c>
      <c r="Q28" s="19">
        <f t="shared" si="1"/>
        <v>11.007822176993342</v>
      </c>
      <c r="R28" s="193">
        <v>106.00160995344034</v>
      </c>
      <c r="S28" s="133">
        <f t="shared" si="2"/>
        <v>94.993787776446993</v>
      </c>
      <c r="T28" s="168">
        <f t="shared" si="3"/>
        <v>0.10384580179327811</v>
      </c>
      <c r="V28" s="193">
        <v>157.32788389129999</v>
      </c>
      <c r="W28" s="133">
        <f t="shared" si="4"/>
        <v>146.32006171430666</v>
      </c>
      <c r="X28" s="169">
        <f t="shared" si="5"/>
        <v>6.9967394874508052E-2</v>
      </c>
    </row>
    <row r="29" spans="1:24">
      <c r="A29">
        <v>2048</v>
      </c>
      <c r="D29" s="173">
        <v>145.08999999999992</v>
      </c>
      <c r="E29">
        <v>384</v>
      </c>
      <c r="F29" s="3">
        <v>242.80186208796644</v>
      </c>
      <c r="G29" s="3">
        <v>141.19813791203356</v>
      </c>
      <c r="H29" s="170">
        <v>20486437.829656936</v>
      </c>
      <c r="K29">
        <v>2760.6700000000019</v>
      </c>
      <c r="L29" s="178">
        <v>7.4208209708718975</v>
      </c>
      <c r="N29" s="191">
        <v>7.4208209708718975E-3</v>
      </c>
      <c r="P29" s="11">
        <f t="shared" si="0"/>
        <v>35228.122170343035</v>
      </c>
      <c r="Q29" s="19">
        <f t="shared" si="1"/>
        <v>12.760714670838242</v>
      </c>
      <c r="R29" s="193">
        <v>99.728989329373007</v>
      </c>
      <c r="S29" s="133">
        <f t="shared" si="2"/>
        <v>86.968274658534767</v>
      </c>
      <c r="T29" s="168">
        <f t="shared" si="3"/>
        <v>0.12795391547279875</v>
      </c>
      <c r="V29" s="193">
        <v>159.21698927645448</v>
      </c>
      <c r="W29" s="133">
        <f t="shared" si="4"/>
        <v>146.45627460561624</v>
      </c>
      <c r="X29" s="169">
        <f t="shared" si="5"/>
        <v>8.0146689928179277E-2</v>
      </c>
    </row>
    <row r="30" spans="1:24">
      <c r="A30">
        <v>2049</v>
      </c>
      <c r="D30" s="173">
        <v>313.90999999999985</v>
      </c>
      <c r="E30">
        <v>389</v>
      </c>
      <c r="F30" s="3">
        <v>247.65789932972578</v>
      </c>
      <c r="G30" s="3">
        <v>141.34210067027422</v>
      </c>
      <c r="H30" s="170">
        <v>44368698.821405753</v>
      </c>
      <c r="K30">
        <v>2834.5299999999988</v>
      </c>
      <c r="L30" s="178">
        <v>15.652929699599499</v>
      </c>
      <c r="N30" s="191">
        <v>1.5652929699599499E-2</v>
      </c>
      <c r="P30" s="11">
        <f t="shared" si="0"/>
        <v>77742.291178594183</v>
      </c>
      <c r="Q30" s="19">
        <f t="shared" si="1"/>
        <v>27.42687189008203</v>
      </c>
      <c r="R30" s="193">
        <v>128.13268955123974</v>
      </c>
      <c r="S30" s="133">
        <f t="shared" si="2"/>
        <v>100.70581766115771</v>
      </c>
      <c r="T30" s="168">
        <f t="shared" si="3"/>
        <v>0.21405054390210188</v>
      </c>
      <c r="V30" s="193">
        <v>154.58793007766613</v>
      </c>
      <c r="W30" s="133">
        <f t="shared" si="4"/>
        <v>127.1610581875841</v>
      </c>
      <c r="X30" s="169">
        <f t="shared" si="5"/>
        <v>0.17741923238316579</v>
      </c>
    </row>
    <row r="31" spans="1:24">
      <c r="A31">
        <v>2050</v>
      </c>
      <c r="D31" s="173">
        <v>179.26999999999998</v>
      </c>
      <c r="E31">
        <v>394</v>
      </c>
      <c r="F31" s="3">
        <v>252.61105731632031</v>
      </c>
      <c r="G31" s="3">
        <v>141.38894268367969</v>
      </c>
      <c r="H31" s="170">
        <v>25346795.754903253</v>
      </c>
      <c r="K31">
        <v>2985.7500000000018</v>
      </c>
      <c r="L31" s="178">
        <v>8.4892558837488856</v>
      </c>
      <c r="N31" s="191">
        <v>8.4892558837488859E-3</v>
      </c>
      <c r="P31" s="11">
        <f t="shared" si="0"/>
        <v>45285.584245096739</v>
      </c>
      <c r="Q31" s="19">
        <f t="shared" si="1"/>
        <v>15.167239134253274</v>
      </c>
      <c r="R31" s="193">
        <v>118.16174711986079</v>
      </c>
      <c r="S31" s="133">
        <f t="shared" si="2"/>
        <v>102.99450798560751</v>
      </c>
      <c r="T31" s="168">
        <f t="shared" si="3"/>
        <v>0.12835997692948756</v>
      </c>
      <c r="V31" s="193">
        <v>157.28261268122333</v>
      </c>
      <c r="W31" s="133">
        <f t="shared" si="4"/>
        <v>142.11537354697006</v>
      </c>
      <c r="X31" s="169">
        <f t="shared" si="5"/>
        <v>9.6433031443811754E-2</v>
      </c>
    </row>
    <row r="33" spans="1:12">
      <c r="A33" s="186"/>
      <c r="B33" s="186"/>
      <c r="C33" s="186"/>
      <c r="D33" s="187">
        <v>8188.7999999999993</v>
      </c>
      <c r="E33" s="186"/>
      <c r="F33" s="186"/>
      <c r="G33" s="186" t="s">
        <v>607</v>
      </c>
      <c r="H33" s="188">
        <v>1142339899.7858248</v>
      </c>
      <c r="I33" s="186"/>
      <c r="J33" s="186"/>
      <c r="K33" s="186"/>
      <c r="L33" s="186"/>
    </row>
    <row r="34" spans="1:12">
      <c r="A34" s="186"/>
      <c r="B34" s="186"/>
      <c r="C34" s="186"/>
      <c r="D34" s="186"/>
      <c r="E34" s="186"/>
      <c r="F34" s="186"/>
      <c r="G34" s="186" t="s">
        <v>608</v>
      </c>
      <c r="H34" s="188">
        <v>827827987.36826122</v>
      </c>
      <c r="I34" s="186"/>
      <c r="J34" s="186"/>
      <c r="K34" s="189">
        <v>29536.263451872401</v>
      </c>
      <c r="L34" s="186"/>
    </row>
    <row r="36" spans="1:12">
      <c r="K36" s="183" t="s">
        <v>609</v>
      </c>
      <c r="L36" s="178">
        <v>28.027512305920418</v>
      </c>
    </row>
    <row r="37" spans="1:12">
      <c r="K37" s="183" t="s">
        <v>610</v>
      </c>
      <c r="L37" s="175"/>
    </row>
    <row r="42" spans="1:12">
      <c r="A42" s="56" t="s">
        <v>611</v>
      </c>
    </row>
    <row r="43" spans="1:12">
      <c r="A43" t="s">
        <v>612</v>
      </c>
    </row>
    <row r="44" spans="1:12">
      <c r="A44" t="s">
        <v>496</v>
      </c>
      <c r="B44" s="25" t="s">
        <v>613</v>
      </c>
    </row>
    <row r="48" spans="1:12">
      <c r="A48" s="56" t="s">
        <v>614</v>
      </c>
    </row>
    <row r="49" spans="1:1">
      <c r="A49" t="s">
        <v>615</v>
      </c>
    </row>
  </sheetData>
  <hyperlinks>
    <hyperlink ref="B44" r:id="rId1" location="toc13" display="https://www.canada.ca/en/environment-climate-change/services/climate-change/science-research-data/social-cost-ghg.html - toc13" xr:uid="{BC8ABFC9-806A-415C-95BA-96F9C3345A8B}"/>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E399C-250B-47B4-A4AB-A172E91C5510}">
  <sheetPr>
    <tabColor theme="3" tint="0.749992370372631"/>
  </sheetPr>
  <dimension ref="D1:V37"/>
  <sheetViews>
    <sheetView topLeftCell="A12" zoomScale="99" zoomScaleNormal="99" workbookViewId="0">
      <selection activeCell="I28" sqref="I28"/>
    </sheetView>
  </sheetViews>
  <sheetFormatPr defaultRowHeight="14.45"/>
  <cols>
    <col min="5" max="5" width="15.85546875" customWidth="1"/>
    <col min="6" max="6" width="33.42578125" customWidth="1"/>
    <col min="7" max="7" width="23.42578125" customWidth="1"/>
    <col min="8" max="8" width="11" customWidth="1"/>
    <col min="9" max="9" width="8.42578125" customWidth="1"/>
    <col min="10" max="10" width="10.140625" customWidth="1"/>
    <col min="13" max="13" width="19.42578125" customWidth="1"/>
    <col min="14" max="14" width="10.85546875" customWidth="1"/>
  </cols>
  <sheetData>
    <row r="1" spans="4:22" ht="35.1" customHeight="1"/>
    <row r="2" spans="4:22" ht="20.45" customHeight="1">
      <c r="E2" s="200" t="s">
        <v>34</v>
      </c>
      <c r="F2" s="200"/>
      <c r="G2" s="200"/>
      <c r="H2" s="200"/>
      <c r="I2" s="200"/>
      <c r="J2" s="200"/>
    </row>
    <row r="3" spans="4:22" ht="19.350000000000001" customHeight="1">
      <c r="E3" s="200" t="s">
        <v>35</v>
      </c>
      <c r="F3" s="200"/>
      <c r="G3" s="200"/>
      <c r="H3" s="200"/>
      <c r="I3" s="200"/>
      <c r="J3" s="200"/>
    </row>
    <row r="4" spans="4:22" ht="44.45" customHeight="1">
      <c r="D4" s="52"/>
      <c r="E4" s="50" t="s">
        <v>36</v>
      </c>
      <c r="F4" s="50" t="s">
        <v>37</v>
      </c>
      <c r="G4" s="51" t="s">
        <v>38</v>
      </c>
      <c r="H4" s="51" t="s">
        <v>39</v>
      </c>
      <c r="I4" s="51" t="s">
        <v>40</v>
      </c>
      <c r="J4" s="51" t="s">
        <v>41</v>
      </c>
      <c r="M4" s="162" t="s">
        <v>37</v>
      </c>
      <c r="N4" s="162" t="s">
        <v>103</v>
      </c>
      <c r="O4" s="162" t="s">
        <v>104</v>
      </c>
      <c r="P4" s="162" t="s">
        <v>105</v>
      </c>
      <c r="Q4" s="162" t="s">
        <v>106</v>
      </c>
      <c r="S4" t="s">
        <v>37</v>
      </c>
      <c r="T4" t="s">
        <v>103</v>
      </c>
      <c r="U4" t="s">
        <v>107</v>
      </c>
      <c r="V4" t="s">
        <v>105</v>
      </c>
    </row>
    <row r="5" spans="4:22" ht="43.5">
      <c r="D5" s="196" t="s">
        <v>42</v>
      </c>
      <c r="E5" s="199" t="s">
        <v>43</v>
      </c>
      <c r="F5" s="38" t="s">
        <v>44</v>
      </c>
      <c r="G5" s="40" t="s">
        <v>45</v>
      </c>
      <c r="H5" s="41">
        <v>-8.56</v>
      </c>
      <c r="I5" s="41">
        <v>-8.56</v>
      </c>
      <c r="J5" s="49">
        <f>'Other Fuel Impact Electric'!H24/10^6</f>
        <v>12.842104682751229</v>
      </c>
      <c r="M5" s="38" t="s">
        <v>44</v>
      </c>
      <c r="N5" t="s">
        <v>108</v>
      </c>
      <c r="P5" s="28">
        <f>-H5</f>
        <v>8.56</v>
      </c>
      <c r="S5" t="s">
        <v>44</v>
      </c>
      <c r="T5" t="s">
        <v>108</v>
      </c>
      <c r="U5" s="41">
        <f>-V5</f>
        <v>-8.56</v>
      </c>
      <c r="V5">
        <v>8.56</v>
      </c>
    </row>
    <row r="6" spans="4:22" ht="50.45" customHeight="1">
      <c r="D6" s="197"/>
      <c r="E6" s="199"/>
      <c r="F6" s="38" t="s">
        <v>46</v>
      </c>
      <c r="G6" s="40" t="s">
        <v>45</v>
      </c>
      <c r="H6" s="41">
        <v>-8.6999999999999993</v>
      </c>
      <c r="I6" s="41">
        <v>-8.6999999999999993</v>
      </c>
      <c r="J6" s="49">
        <f>'Other Fuel Impact Electric'!P24/10^6</f>
        <v>8.7034989436979959</v>
      </c>
      <c r="M6" s="38" t="s">
        <v>44</v>
      </c>
      <c r="N6" t="s">
        <v>109</v>
      </c>
      <c r="P6" s="28">
        <f>-I5</f>
        <v>8.56</v>
      </c>
      <c r="S6" t="s">
        <v>44</v>
      </c>
      <c r="T6" t="s">
        <v>109</v>
      </c>
      <c r="U6" s="41">
        <f>-V6</f>
        <v>-8.56</v>
      </c>
      <c r="V6">
        <v>8.56</v>
      </c>
    </row>
    <row r="7" spans="4:22" ht="29.1">
      <c r="D7" s="197"/>
      <c r="E7" s="199"/>
      <c r="F7" s="38" t="s">
        <v>47</v>
      </c>
      <c r="G7" s="40" t="s">
        <v>48</v>
      </c>
      <c r="H7" s="42">
        <v>0</v>
      </c>
      <c r="I7" s="42">
        <v>0</v>
      </c>
      <c r="J7" s="42">
        <v>0</v>
      </c>
      <c r="M7" s="38" t="s">
        <v>44</v>
      </c>
      <c r="N7" t="s">
        <v>110</v>
      </c>
      <c r="O7" s="2">
        <f>J5</f>
        <v>12.842104682751229</v>
      </c>
      <c r="S7" t="s">
        <v>44</v>
      </c>
      <c r="T7" t="s">
        <v>110</v>
      </c>
      <c r="U7">
        <v>12.842104682751229</v>
      </c>
    </row>
    <row r="8" spans="4:22" ht="29.1">
      <c r="D8" s="197"/>
      <c r="E8" s="199"/>
      <c r="F8" s="38" t="s">
        <v>49</v>
      </c>
      <c r="G8" s="40" t="s">
        <v>48</v>
      </c>
      <c r="H8" s="42">
        <v>0</v>
      </c>
      <c r="I8" s="42">
        <v>0</v>
      </c>
      <c r="J8" s="42">
        <v>0</v>
      </c>
      <c r="M8" s="38" t="s">
        <v>111</v>
      </c>
      <c r="N8" t="s">
        <v>108</v>
      </c>
      <c r="P8" s="28">
        <f>-H6</f>
        <v>8.6999999999999993</v>
      </c>
      <c r="S8" t="s">
        <v>111</v>
      </c>
      <c r="T8" t="s">
        <v>108</v>
      </c>
      <c r="U8" s="41">
        <f>-V8</f>
        <v>-8.6999999999999993</v>
      </c>
      <c r="V8">
        <v>8.6999999999999993</v>
      </c>
    </row>
    <row r="9" spans="4:22" ht="15.6">
      <c r="D9" s="197"/>
      <c r="E9" s="199"/>
      <c r="F9" s="39" t="s">
        <v>50</v>
      </c>
      <c r="G9" s="40" t="s">
        <v>51</v>
      </c>
      <c r="H9" s="42">
        <v>0</v>
      </c>
      <c r="I9" s="42">
        <v>0</v>
      </c>
      <c r="J9" s="42">
        <v>0</v>
      </c>
      <c r="M9" s="38" t="s">
        <v>111</v>
      </c>
      <c r="N9" t="s">
        <v>109</v>
      </c>
      <c r="P9" s="28">
        <f>-I6</f>
        <v>8.6999999999999993</v>
      </c>
      <c r="S9" t="s">
        <v>111</v>
      </c>
      <c r="T9" t="s">
        <v>109</v>
      </c>
      <c r="U9" s="41">
        <f>-V9</f>
        <v>-8.6999999999999993</v>
      </c>
      <c r="V9">
        <v>8.6999999999999993</v>
      </c>
    </row>
    <row r="10" spans="4:22" ht="39.6" customHeight="1">
      <c r="D10" s="197"/>
      <c r="E10" s="199"/>
      <c r="F10" s="38" t="s">
        <v>52</v>
      </c>
      <c r="G10" s="40" t="s">
        <v>48</v>
      </c>
      <c r="H10" s="42">
        <v>0</v>
      </c>
      <c r="I10" s="42">
        <v>0</v>
      </c>
      <c r="J10" s="42">
        <v>0</v>
      </c>
      <c r="M10" s="38" t="s">
        <v>111</v>
      </c>
      <c r="N10" t="s">
        <v>110</v>
      </c>
      <c r="O10" s="2">
        <f>J6</f>
        <v>8.7034989436979959</v>
      </c>
      <c r="S10" t="s">
        <v>111</v>
      </c>
      <c r="T10" t="s">
        <v>110</v>
      </c>
      <c r="U10">
        <v>8.7034989436979959</v>
      </c>
    </row>
    <row r="11" spans="4:22" ht="23.1" customHeight="1">
      <c r="D11" s="197"/>
      <c r="E11" s="199" t="s">
        <v>53</v>
      </c>
      <c r="F11" s="38" t="s">
        <v>54</v>
      </c>
      <c r="G11" s="40" t="s">
        <v>55</v>
      </c>
      <c r="H11" s="41">
        <v>-1.86</v>
      </c>
      <c r="I11" s="41">
        <v>-1.86</v>
      </c>
      <c r="J11" s="49">
        <f>'Other Fuel Impact Electric'!Q26/10^6</f>
        <v>1.8596901287165746</v>
      </c>
      <c r="M11" s="163" t="s">
        <v>112</v>
      </c>
      <c r="N11" t="s">
        <v>108</v>
      </c>
      <c r="P11" s="28">
        <f>-H11</f>
        <v>1.86</v>
      </c>
      <c r="S11" t="s">
        <v>112</v>
      </c>
      <c r="T11" t="s">
        <v>108</v>
      </c>
      <c r="U11" s="41">
        <f>-V11</f>
        <v>-1.86</v>
      </c>
      <c r="V11">
        <v>1.86</v>
      </c>
    </row>
    <row r="12" spans="4:22" ht="26.45" customHeight="1">
      <c r="D12" s="197"/>
      <c r="E12" s="199"/>
      <c r="F12" s="38" t="s">
        <v>56</v>
      </c>
      <c r="G12" s="40" t="s">
        <v>57</v>
      </c>
      <c r="H12" s="43"/>
      <c r="I12" s="43"/>
      <c r="J12" s="43"/>
      <c r="M12" s="163" t="s">
        <v>112</v>
      </c>
      <c r="N12" t="s">
        <v>109</v>
      </c>
      <c r="P12" s="28">
        <f>-I11</f>
        <v>1.86</v>
      </c>
      <c r="S12" t="s">
        <v>112</v>
      </c>
      <c r="T12" t="s">
        <v>109</v>
      </c>
      <c r="U12" s="41">
        <f>-V12</f>
        <v>-1.86</v>
      </c>
      <c r="V12">
        <v>1.86</v>
      </c>
    </row>
    <row r="13" spans="4:22" ht="30.6" customHeight="1">
      <c r="D13" s="197"/>
      <c r="E13" s="199" t="s">
        <v>58</v>
      </c>
      <c r="F13" s="38" t="s">
        <v>59</v>
      </c>
      <c r="G13" s="40" t="s">
        <v>60</v>
      </c>
      <c r="H13" s="41">
        <v>-1.86</v>
      </c>
      <c r="I13" s="41">
        <v>-1.86</v>
      </c>
      <c r="J13" s="49">
        <f>'Other Fuel Impact Electric'!Q26/10^6</f>
        <v>1.8596901287165746</v>
      </c>
      <c r="M13" s="163" t="s">
        <v>112</v>
      </c>
      <c r="N13" t="s">
        <v>110</v>
      </c>
      <c r="O13" s="2">
        <f>J11</f>
        <v>1.8596901287165746</v>
      </c>
      <c r="S13" t="s">
        <v>112</v>
      </c>
      <c r="T13" t="s">
        <v>110</v>
      </c>
      <c r="U13">
        <v>1.8596901287165746</v>
      </c>
    </row>
    <row r="14" spans="4:22" ht="26.45" customHeight="1">
      <c r="D14" s="197"/>
      <c r="E14" s="199"/>
      <c r="F14" s="38" t="s">
        <v>61</v>
      </c>
      <c r="G14" s="40" t="s">
        <v>57</v>
      </c>
      <c r="H14" s="43"/>
      <c r="I14" s="43"/>
      <c r="J14" s="43"/>
      <c r="M14" s="163" t="s">
        <v>113</v>
      </c>
      <c r="N14" t="s">
        <v>108</v>
      </c>
      <c r="P14" s="28">
        <f>-H13</f>
        <v>1.86</v>
      </c>
      <c r="S14" t="s">
        <v>113</v>
      </c>
      <c r="T14" t="s">
        <v>108</v>
      </c>
      <c r="U14" s="41">
        <f>-V14</f>
        <v>-1.86</v>
      </c>
      <c r="V14">
        <v>1.86</v>
      </c>
    </row>
    <row r="15" spans="4:22" ht="27" customHeight="1">
      <c r="D15" s="197"/>
      <c r="E15" s="199"/>
      <c r="F15" s="38" t="s">
        <v>62</v>
      </c>
      <c r="G15" s="40" t="s">
        <v>48</v>
      </c>
      <c r="H15" s="42">
        <v>0</v>
      </c>
      <c r="I15" s="42">
        <v>0</v>
      </c>
      <c r="J15" s="42">
        <v>0</v>
      </c>
      <c r="M15" s="163" t="s">
        <v>113</v>
      </c>
      <c r="N15" t="s">
        <v>109</v>
      </c>
      <c r="P15" s="28">
        <f>-I13</f>
        <v>1.86</v>
      </c>
      <c r="S15" t="s">
        <v>113</v>
      </c>
      <c r="T15" t="s">
        <v>109</v>
      </c>
      <c r="U15" s="41">
        <f>-V15</f>
        <v>-1.86</v>
      </c>
      <c r="V15">
        <v>1.86</v>
      </c>
    </row>
    <row r="16" spans="4:22" ht="15.6">
      <c r="D16" s="197"/>
      <c r="E16" s="199"/>
      <c r="F16" s="38" t="s">
        <v>63</v>
      </c>
      <c r="G16" s="40" t="s">
        <v>64</v>
      </c>
      <c r="H16" s="46" t="s">
        <v>64</v>
      </c>
      <c r="I16" s="46" t="s">
        <v>64</v>
      </c>
      <c r="J16" s="46" t="s">
        <v>64</v>
      </c>
      <c r="M16" s="163" t="s">
        <v>113</v>
      </c>
      <c r="N16" t="s">
        <v>110</v>
      </c>
      <c r="O16" s="2">
        <f>J13</f>
        <v>1.8596901287165746</v>
      </c>
      <c r="S16" t="s">
        <v>113</v>
      </c>
      <c r="T16" t="s">
        <v>110</v>
      </c>
      <c r="U16">
        <v>1.8596901287165746</v>
      </c>
    </row>
    <row r="17" spans="4:22" ht="15.6">
      <c r="D17" s="197"/>
      <c r="E17" s="199" t="s">
        <v>65</v>
      </c>
      <c r="F17" s="38" t="s">
        <v>66</v>
      </c>
      <c r="G17" s="40" t="s">
        <v>67</v>
      </c>
      <c r="H17" s="41">
        <f>-('Residential Heat Pump Measure'!$D$40*1000)/10^6</f>
        <v>-3.2</v>
      </c>
      <c r="I17" s="41">
        <f>-('Residential Heat Pump Measure'!$D$40*1000)/10^6</f>
        <v>-3.2</v>
      </c>
      <c r="J17" s="41">
        <f>-('Residential Heat Pump Measure'!$D$40*1000)/10^6</f>
        <v>-3.2</v>
      </c>
      <c r="M17" s="163" t="s">
        <v>114</v>
      </c>
      <c r="N17" t="s">
        <v>108</v>
      </c>
      <c r="P17" s="28">
        <f>-H17</f>
        <v>3.2</v>
      </c>
      <c r="S17" t="s">
        <v>114</v>
      </c>
      <c r="T17" t="s">
        <v>108</v>
      </c>
      <c r="U17" s="41">
        <f t="shared" ref="U17:U22" si="0">-V17</f>
        <v>-3.2</v>
      </c>
      <c r="V17">
        <v>3.2</v>
      </c>
    </row>
    <row r="18" spans="4:22" ht="31.35" customHeight="1">
      <c r="D18" s="197"/>
      <c r="E18" s="199"/>
      <c r="F18" s="38" t="s">
        <v>68</v>
      </c>
      <c r="G18" s="40" t="s">
        <v>69</v>
      </c>
      <c r="H18" s="42">
        <v>0</v>
      </c>
      <c r="I18" s="42">
        <v>0</v>
      </c>
      <c r="J18" s="42">
        <v>0</v>
      </c>
      <c r="M18" s="163" t="s">
        <v>114</v>
      </c>
      <c r="N18" t="s">
        <v>109</v>
      </c>
      <c r="P18" s="28">
        <f>-I17</f>
        <v>3.2</v>
      </c>
      <c r="S18" t="s">
        <v>114</v>
      </c>
      <c r="T18" t="s">
        <v>109</v>
      </c>
      <c r="U18" s="41">
        <f t="shared" si="0"/>
        <v>-3.2</v>
      </c>
      <c r="V18">
        <v>3.2</v>
      </c>
    </row>
    <row r="19" spans="4:22" ht="15.6">
      <c r="D19" s="197"/>
      <c r="E19" s="199"/>
      <c r="F19" s="38" t="s">
        <v>70</v>
      </c>
      <c r="G19" s="40" t="s">
        <v>71</v>
      </c>
      <c r="H19" s="41">
        <v>-1.9</v>
      </c>
      <c r="I19" s="41">
        <v>-1.9</v>
      </c>
      <c r="J19" s="41">
        <v>-1.9</v>
      </c>
      <c r="M19" s="163" t="s">
        <v>114</v>
      </c>
      <c r="N19" t="s">
        <v>110</v>
      </c>
      <c r="P19" s="28">
        <f>-J17</f>
        <v>3.2</v>
      </c>
      <c r="S19" t="s">
        <v>114</v>
      </c>
      <c r="T19" t="s">
        <v>110</v>
      </c>
      <c r="U19" s="41">
        <f t="shared" si="0"/>
        <v>-3.2</v>
      </c>
      <c r="V19">
        <v>3.2</v>
      </c>
    </row>
    <row r="20" spans="4:22" ht="15.6">
      <c r="D20" s="197"/>
      <c r="E20" s="199"/>
      <c r="F20" s="38" t="s">
        <v>72</v>
      </c>
      <c r="G20" s="42" t="s">
        <v>51</v>
      </c>
      <c r="H20" s="42">
        <v>0</v>
      </c>
      <c r="I20" s="42">
        <v>0</v>
      </c>
      <c r="J20" s="42">
        <v>0</v>
      </c>
      <c r="M20" s="163" t="s">
        <v>115</v>
      </c>
      <c r="N20" t="s">
        <v>108</v>
      </c>
      <c r="P20" s="28">
        <f>-H19</f>
        <v>1.9</v>
      </c>
      <c r="S20" t="s">
        <v>115</v>
      </c>
      <c r="T20" t="s">
        <v>108</v>
      </c>
      <c r="U20" s="41">
        <f t="shared" si="0"/>
        <v>-1.9</v>
      </c>
      <c r="V20">
        <v>1.9</v>
      </c>
    </row>
    <row r="21" spans="4:22" ht="15.6">
      <c r="D21" s="197"/>
      <c r="E21" s="199"/>
      <c r="F21" s="38" t="s">
        <v>73</v>
      </c>
      <c r="G21" s="42" t="s">
        <v>74</v>
      </c>
      <c r="H21" s="43"/>
      <c r="I21" s="43"/>
      <c r="J21" s="43"/>
      <c r="M21" s="163" t="s">
        <v>115</v>
      </c>
      <c r="N21" t="s">
        <v>109</v>
      </c>
      <c r="P21" s="28">
        <f>-I19</f>
        <v>1.9</v>
      </c>
      <c r="S21" t="s">
        <v>115</v>
      </c>
      <c r="T21" t="s">
        <v>109</v>
      </c>
      <c r="U21" s="41">
        <f t="shared" si="0"/>
        <v>-1.9</v>
      </c>
      <c r="V21">
        <v>1.9</v>
      </c>
    </row>
    <row r="22" spans="4:22" ht="15.6">
      <c r="D22" s="197"/>
      <c r="E22" s="199"/>
      <c r="F22" s="38" t="s">
        <v>75</v>
      </c>
      <c r="G22" s="42" t="s">
        <v>74</v>
      </c>
      <c r="H22" s="43"/>
      <c r="I22" s="43"/>
      <c r="J22" s="43"/>
      <c r="M22" s="163" t="s">
        <v>115</v>
      </c>
      <c r="N22" t="s">
        <v>110</v>
      </c>
      <c r="P22" s="28">
        <f>-J19</f>
        <v>1.9</v>
      </c>
      <c r="S22" t="s">
        <v>115</v>
      </c>
      <c r="T22" t="s">
        <v>110</v>
      </c>
      <c r="U22" s="41">
        <f t="shared" si="0"/>
        <v>-1.9</v>
      </c>
      <c r="V22">
        <v>1.9</v>
      </c>
    </row>
    <row r="23" spans="4:22" ht="26.1" customHeight="1">
      <c r="D23" s="197"/>
      <c r="E23" s="199"/>
      <c r="F23" s="38" t="s">
        <v>76</v>
      </c>
      <c r="G23" s="40" t="s">
        <v>48</v>
      </c>
      <c r="H23" s="42">
        <v>0</v>
      </c>
      <c r="I23" s="42">
        <v>0</v>
      </c>
      <c r="J23" s="42">
        <v>0</v>
      </c>
      <c r="M23" s="163" t="s">
        <v>80</v>
      </c>
      <c r="S23" s="163" t="s">
        <v>80</v>
      </c>
      <c r="T23" t="s">
        <v>108</v>
      </c>
      <c r="U23" s="28">
        <f>H26</f>
        <v>42.4</v>
      </c>
    </row>
    <row r="24" spans="4:22" ht="15.6">
      <c r="D24" s="197"/>
      <c r="E24" s="199"/>
      <c r="F24" s="38" t="s">
        <v>77</v>
      </c>
      <c r="G24" s="42" t="s">
        <v>64</v>
      </c>
      <c r="H24" s="46" t="s">
        <v>64</v>
      </c>
      <c r="I24" s="46" t="s">
        <v>64</v>
      </c>
      <c r="J24" s="46" t="s">
        <v>64</v>
      </c>
      <c r="M24" s="163" t="s">
        <v>80</v>
      </c>
      <c r="S24" s="163" t="s">
        <v>80</v>
      </c>
      <c r="T24" t="s">
        <v>109</v>
      </c>
      <c r="U24" s="28">
        <f>I26</f>
        <v>6.2</v>
      </c>
    </row>
    <row r="25" spans="4:22" ht="15.6">
      <c r="D25" s="53"/>
      <c r="E25" s="42"/>
      <c r="F25" s="42"/>
      <c r="G25" s="44" t="s">
        <v>78</v>
      </c>
      <c r="H25" s="45">
        <f>SUM(H5:H24)</f>
        <v>-26.079999999999995</v>
      </c>
      <c r="I25" s="45">
        <f>SUM(I5:I24)</f>
        <v>-26.079999999999995</v>
      </c>
      <c r="J25" s="45">
        <f>SUM(J5:J24)</f>
        <v>20.164983883882378</v>
      </c>
      <c r="M25" s="163" t="s">
        <v>80</v>
      </c>
      <c r="S25" s="163" t="s">
        <v>80</v>
      </c>
      <c r="T25" t="s">
        <v>110</v>
      </c>
      <c r="U25">
        <f>J26</f>
        <v>0</v>
      </c>
    </row>
    <row r="26" spans="4:22" ht="33.6" customHeight="1">
      <c r="D26" s="198" t="s">
        <v>79</v>
      </c>
      <c r="E26" s="38" t="s">
        <v>80</v>
      </c>
      <c r="F26" s="39" t="s">
        <v>81</v>
      </c>
      <c r="G26" s="40" t="s">
        <v>82</v>
      </c>
      <c r="H26" s="41">
        <v>42.4</v>
      </c>
      <c r="I26" s="41">
        <v>6.2</v>
      </c>
      <c r="J26" s="42">
        <v>0</v>
      </c>
      <c r="M26" s="163" t="s">
        <v>116</v>
      </c>
      <c r="S26" s="163" t="s">
        <v>116</v>
      </c>
      <c r="T26" t="s">
        <v>108</v>
      </c>
      <c r="U26" s="28">
        <f>H28</f>
        <v>13.9</v>
      </c>
    </row>
    <row r="27" spans="4:22" ht="47.1" customHeight="1">
      <c r="D27" s="198"/>
      <c r="E27" s="39" t="s">
        <v>83</v>
      </c>
      <c r="F27" s="39" t="s">
        <v>84</v>
      </c>
      <c r="G27" s="40" t="s">
        <v>85</v>
      </c>
      <c r="H27" s="41">
        <f>-('Criteria Pollutants'!$H$26/1000000)</f>
        <v>-0.77945168883200888</v>
      </c>
      <c r="I27" s="41">
        <f>-('Criteria Pollutants'!$H$26/1000000)</f>
        <v>-0.77945168883200888</v>
      </c>
      <c r="J27" s="157">
        <f>'Criteria Pollutants'!H45/1000000</f>
        <v>1.1691775332480132</v>
      </c>
      <c r="M27" s="163" t="s">
        <v>116</v>
      </c>
      <c r="S27" s="163" t="s">
        <v>116</v>
      </c>
      <c r="T27" t="s">
        <v>109</v>
      </c>
      <c r="U27" s="28">
        <f>I28</f>
        <v>7.3</v>
      </c>
    </row>
    <row r="28" spans="4:22" ht="27.6" customHeight="1">
      <c r="D28" s="198"/>
      <c r="E28" s="39" t="s">
        <v>86</v>
      </c>
      <c r="F28" s="38" t="s">
        <v>87</v>
      </c>
      <c r="G28" s="40" t="s">
        <v>88</v>
      </c>
      <c r="H28" s="41">
        <v>13.9</v>
      </c>
      <c r="I28" s="41">
        <v>7.3</v>
      </c>
      <c r="J28" s="41">
        <f>'GHG Impact Summary'!N76/1000000</f>
        <v>14.022332157762179</v>
      </c>
      <c r="M28" s="163" t="s">
        <v>116</v>
      </c>
      <c r="S28" s="163" t="s">
        <v>116</v>
      </c>
      <c r="T28" t="s">
        <v>110</v>
      </c>
      <c r="U28" s="28">
        <f>J28</f>
        <v>14.022332157762179</v>
      </c>
    </row>
    <row r="29" spans="4:22" ht="12" customHeight="1">
      <c r="D29" s="53"/>
      <c r="E29" s="39"/>
      <c r="F29" s="38"/>
      <c r="G29" s="40"/>
      <c r="H29" s="41"/>
      <c r="I29" s="41"/>
      <c r="J29" s="41"/>
      <c r="M29" s="163" t="s">
        <v>117</v>
      </c>
      <c r="S29" s="163" t="s">
        <v>117</v>
      </c>
      <c r="T29" t="s">
        <v>108</v>
      </c>
      <c r="U29" s="28">
        <f>H27</f>
        <v>-0.77945168883200888</v>
      </c>
    </row>
    <row r="30" spans="4:22" ht="29.45" customHeight="1">
      <c r="D30" s="195" t="s">
        <v>89</v>
      </c>
      <c r="E30" s="39" t="s">
        <v>90</v>
      </c>
      <c r="F30" s="38" t="s">
        <v>91</v>
      </c>
      <c r="G30" s="40" t="s">
        <v>92</v>
      </c>
      <c r="H30" s="41">
        <f>-(('Residential Heat Pump Measure'!$D$38-'Residential Heat Pump Measure'!$D$40)*1000)/10^6</f>
        <v>-4.8</v>
      </c>
      <c r="I30" s="41">
        <f>-(('Residential Heat Pump Measure'!$D$38-'Residential Heat Pump Measure'!$D$40)*1000)/10^6</f>
        <v>-4.8</v>
      </c>
      <c r="J30" s="41">
        <f>-(('Residential Heat Pump Measure'!$D$38-'Residential Heat Pump Measure'!$D$40)*1000)/10^6</f>
        <v>-4.8</v>
      </c>
      <c r="M30" s="163" t="s">
        <v>117</v>
      </c>
      <c r="S30" s="163" t="s">
        <v>117</v>
      </c>
      <c r="T30" t="s">
        <v>109</v>
      </c>
      <c r="U30" s="28">
        <f>I27</f>
        <v>-0.77945168883200888</v>
      </c>
    </row>
    <row r="31" spans="4:22" ht="53.1" customHeight="1">
      <c r="D31" s="195"/>
      <c r="E31" s="39" t="s">
        <v>93</v>
      </c>
      <c r="F31" s="38" t="s">
        <v>94</v>
      </c>
      <c r="G31" s="40" t="s">
        <v>95</v>
      </c>
      <c r="H31" s="41">
        <f>('Residential Heat Pump Measure'!$D$43*1000)/10^6</f>
        <v>0.8</v>
      </c>
      <c r="I31" s="41">
        <f>('Residential Heat Pump Measure'!$D$43*1000)/10^6</f>
        <v>0.8</v>
      </c>
      <c r="J31" s="41">
        <f>('Residential Heat Pump Measure'!$D$43*1000)/10^6</f>
        <v>0.8</v>
      </c>
      <c r="M31" s="163" t="s">
        <v>117</v>
      </c>
      <c r="S31" s="163" t="s">
        <v>117</v>
      </c>
      <c r="T31" t="s">
        <v>110</v>
      </c>
      <c r="U31" s="19">
        <f>J27</f>
        <v>1.1691775332480132</v>
      </c>
    </row>
    <row r="32" spans="4:22" ht="7.35" customHeight="1">
      <c r="D32" s="53"/>
      <c r="E32" s="39"/>
      <c r="F32" s="38"/>
      <c r="G32" s="40"/>
      <c r="H32" s="41"/>
      <c r="I32" s="41"/>
      <c r="J32" s="41"/>
      <c r="M32" s="163" t="s">
        <v>118</v>
      </c>
      <c r="S32" s="163" t="s">
        <v>118</v>
      </c>
      <c r="T32" t="s">
        <v>108</v>
      </c>
      <c r="U32" s="28">
        <f>H30</f>
        <v>-4.8</v>
      </c>
    </row>
    <row r="33" spans="4:21" ht="29.1">
      <c r="D33" s="53"/>
      <c r="E33" s="42"/>
      <c r="F33" s="42"/>
      <c r="G33" s="47" t="s">
        <v>96</v>
      </c>
      <c r="H33" s="45">
        <f>SUM(H26:H31)</f>
        <v>51.520548311167985</v>
      </c>
      <c r="I33" s="45">
        <f t="shared" ref="I33:J33" si="1">SUM(I26:I31)</f>
        <v>8.7205483111679918</v>
      </c>
      <c r="J33" s="45">
        <f t="shared" si="1"/>
        <v>11.191509691010193</v>
      </c>
      <c r="M33" s="163" t="s">
        <v>118</v>
      </c>
      <c r="S33" s="163" t="s">
        <v>118</v>
      </c>
      <c r="T33" t="s">
        <v>109</v>
      </c>
      <c r="U33" s="28">
        <f>I30</f>
        <v>-4.8</v>
      </c>
    </row>
    <row r="34" spans="4:21" ht="15.6">
      <c r="D34" s="54"/>
      <c r="E34" s="42"/>
      <c r="F34" s="42"/>
      <c r="G34" s="44" t="s">
        <v>97</v>
      </c>
      <c r="H34" s="45">
        <f>H33+H25</f>
        <v>25.440548311167991</v>
      </c>
      <c r="I34" s="45">
        <f>I33+I25</f>
        <v>-17.359451688832003</v>
      </c>
      <c r="J34" s="45">
        <f>J33+J25</f>
        <v>31.356493574892571</v>
      </c>
      <c r="M34" s="163" t="s">
        <v>118</v>
      </c>
      <c r="S34" s="163" t="s">
        <v>118</v>
      </c>
      <c r="T34" t="s">
        <v>110</v>
      </c>
      <c r="U34" s="28">
        <f>J30</f>
        <v>-4.8</v>
      </c>
    </row>
    <row r="35" spans="4:21" ht="15.6">
      <c r="M35" s="163" t="s">
        <v>119</v>
      </c>
      <c r="S35" s="163" t="s">
        <v>119</v>
      </c>
      <c r="T35" t="s">
        <v>108</v>
      </c>
      <c r="U35" s="28">
        <f>H31</f>
        <v>0.8</v>
      </c>
    </row>
    <row r="36" spans="4:21" ht="15.6">
      <c r="M36" s="163" t="s">
        <v>119</v>
      </c>
      <c r="S36" s="163" t="s">
        <v>119</v>
      </c>
      <c r="T36" t="s">
        <v>109</v>
      </c>
      <c r="U36" s="28">
        <f>I31</f>
        <v>0.8</v>
      </c>
    </row>
    <row r="37" spans="4:21" ht="15.6">
      <c r="M37" s="163" t="s">
        <v>119</v>
      </c>
      <c r="S37" s="163" t="s">
        <v>119</v>
      </c>
      <c r="T37" t="s">
        <v>110</v>
      </c>
      <c r="U37" s="28">
        <f>J31</f>
        <v>0.8</v>
      </c>
    </row>
  </sheetData>
  <mergeCells count="9">
    <mergeCell ref="D26:D28"/>
    <mergeCell ref="D30:D31"/>
    <mergeCell ref="E2:J2"/>
    <mergeCell ref="E3:J3"/>
    <mergeCell ref="D5:D24"/>
    <mergeCell ref="E5:E10"/>
    <mergeCell ref="E11:E12"/>
    <mergeCell ref="E13:E16"/>
    <mergeCell ref="E17:E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B1E43-9B4B-4236-A914-09B6A6FA6052}">
  <sheetPr>
    <tabColor theme="6" tint="0.59999389629810485"/>
  </sheetPr>
  <dimension ref="A20:AQ82"/>
  <sheetViews>
    <sheetView topLeftCell="R47" zoomScaleNormal="100" workbookViewId="0">
      <selection activeCell="I21" sqref="I21"/>
    </sheetView>
  </sheetViews>
  <sheetFormatPr defaultRowHeight="14.45"/>
  <cols>
    <col min="4" max="4" width="27.5703125" style="35" customWidth="1"/>
    <col min="5" max="5" width="10.42578125" bestFit="1" customWidth="1"/>
    <col min="14" max="14" width="2.42578125" style="58" customWidth="1"/>
    <col min="15" max="15" width="18.42578125" style="86" customWidth="1"/>
    <col min="16" max="17" width="16" customWidth="1"/>
    <col min="18" max="42" width="9.5703125" bestFit="1" customWidth="1"/>
  </cols>
  <sheetData>
    <row r="20" spans="1:42">
      <c r="A20" s="56" t="s">
        <v>120</v>
      </c>
      <c r="O20" s="85" t="s">
        <v>121</v>
      </c>
    </row>
    <row r="22" spans="1:42">
      <c r="B22" s="56" t="s">
        <v>42</v>
      </c>
      <c r="O22" s="86" t="s">
        <v>122</v>
      </c>
      <c r="Q22" s="87">
        <v>0.02</v>
      </c>
    </row>
    <row r="23" spans="1:42">
      <c r="C23" s="14" t="s">
        <v>123</v>
      </c>
    </row>
    <row r="24" spans="1:42">
      <c r="D24" s="35" t="s">
        <v>124</v>
      </c>
      <c r="E24">
        <v>5</v>
      </c>
      <c r="F24" t="s">
        <v>125</v>
      </c>
      <c r="O24" s="88" t="s">
        <v>126</v>
      </c>
      <c r="Q24" t="s">
        <v>127</v>
      </c>
      <c r="R24" s="16">
        <v>1</v>
      </c>
      <c r="S24" s="16">
        <f>R24+1</f>
        <v>2</v>
      </c>
      <c r="T24" s="16">
        <f t="shared" ref="T24:AP24" si="0">S24+1</f>
        <v>3</v>
      </c>
      <c r="U24" s="16">
        <f t="shared" si="0"/>
        <v>4</v>
      </c>
      <c r="V24" s="16">
        <f t="shared" si="0"/>
        <v>5</v>
      </c>
      <c r="W24" s="16">
        <f t="shared" si="0"/>
        <v>6</v>
      </c>
      <c r="X24" s="16">
        <f t="shared" si="0"/>
        <v>7</v>
      </c>
      <c r="Y24" s="16">
        <f t="shared" si="0"/>
        <v>8</v>
      </c>
      <c r="Z24" s="16">
        <f t="shared" si="0"/>
        <v>9</v>
      </c>
      <c r="AA24" s="16">
        <f t="shared" si="0"/>
        <v>10</v>
      </c>
      <c r="AB24" s="16">
        <f t="shared" si="0"/>
        <v>11</v>
      </c>
      <c r="AC24" s="16">
        <f t="shared" si="0"/>
        <v>12</v>
      </c>
      <c r="AD24" s="16">
        <f t="shared" si="0"/>
        <v>13</v>
      </c>
      <c r="AE24" s="16">
        <f t="shared" si="0"/>
        <v>14</v>
      </c>
      <c r="AF24" s="16">
        <f t="shared" si="0"/>
        <v>15</v>
      </c>
      <c r="AG24" s="16">
        <f t="shared" si="0"/>
        <v>16</v>
      </c>
      <c r="AH24" s="16">
        <f t="shared" si="0"/>
        <v>17</v>
      </c>
      <c r="AI24" s="16">
        <f t="shared" si="0"/>
        <v>18</v>
      </c>
      <c r="AJ24" s="16">
        <f t="shared" si="0"/>
        <v>19</v>
      </c>
      <c r="AK24" s="16">
        <f t="shared" si="0"/>
        <v>20</v>
      </c>
      <c r="AL24" s="16">
        <f t="shared" si="0"/>
        <v>21</v>
      </c>
      <c r="AM24" s="16">
        <f t="shared" si="0"/>
        <v>22</v>
      </c>
      <c r="AN24" s="16">
        <f t="shared" si="0"/>
        <v>23</v>
      </c>
      <c r="AO24" s="16">
        <f t="shared" si="0"/>
        <v>24</v>
      </c>
      <c r="AP24" s="16">
        <f t="shared" si="0"/>
        <v>25</v>
      </c>
    </row>
    <row r="25" spans="1:42">
      <c r="D25" s="35" t="s">
        <v>128</v>
      </c>
      <c r="E25">
        <v>1090</v>
      </c>
      <c r="O25" s="86" t="s">
        <v>129</v>
      </c>
      <c r="P25" t="s">
        <v>130</v>
      </c>
      <c r="Q25" s="6">
        <f>NPV($Q$22,R25:AP25)</f>
        <v>9560.7752590895307</v>
      </c>
      <c r="R25" s="11">
        <f>$E$30</f>
        <v>604.95000000000005</v>
      </c>
      <c r="S25" s="11">
        <f>R25*0.98</f>
        <v>592.851</v>
      </c>
      <c r="T25" s="11">
        <f t="shared" ref="T25:AP25" si="1">S25*0.98</f>
        <v>580.99397999999997</v>
      </c>
      <c r="U25" s="11">
        <f t="shared" si="1"/>
        <v>569.37410039999997</v>
      </c>
      <c r="V25" s="11">
        <f t="shared" si="1"/>
        <v>557.98661839199997</v>
      </c>
      <c r="W25" s="11">
        <f t="shared" si="1"/>
        <v>546.82688602415999</v>
      </c>
      <c r="X25" s="11">
        <f t="shared" si="1"/>
        <v>535.89034830367677</v>
      </c>
      <c r="Y25" s="11">
        <f t="shared" si="1"/>
        <v>525.17254133760321</v>
      </c>
      <c r="Z25" s="11">
        <f t="shared" si="1"/>
        <v>514.66909051085111</v>
      </c>
      <c r="AA25" s="11">
        <f t="shared" si="1"/>
        <v>504.37570870063405</v>
      </c>
      <c r="AB25" s="11">
        <f t="shared" si="1"/>
        <v>494.28819452662134</v>
      </c>
      <c r="AC25" s="11">
        <f t="shared" si="1"/>
        <v>484.40243063608892</v>
      </c>
      <c r="AD25" s="11">
        <f t="shared" si="1"/>
        <v>474.71438202336714</v>
      </c>
      <c r="AE25" s="11">
        <f t="shared" si="1"/>
        <v>465.22009438289979</v>
      </c>
      <c r="AF25" s="11">
        <f t="shared" si="1"/>
        <v>455.91569249524179</v>
      </c>
      <c r="AG25" s="11">
        <f t="shared" si="1"/>
        <v>446.79737864533695</v>
      </c>
      <c r="AH25" s="11">
        <f t="shared" si="1"/>
        <v>437.86143107243021</v>
      </c>
      <c r="AI25" s="11">
        <f t="shared" si="1"/>
        <v>429.10420245098157</v>
      </c>
      <c r="AJ25" s="11">
        <f t="shared" si="1"/>
        <v>420.52211840196196</v>
      </c>
      <c r="AK25" s="11">
        <f t="shared" si="1"/>
        <v>412.11167603392272</v>
      </c>
      <c r="AL25" s="11">
        <f t="shared" si="1"/>
        <v>403.86944251324428</v>
      </c>
      <c r="AM25" s="11">
        <f t="shared" si="1"/>
        <v>395.79205366297941</v>
      </c>
      <c r="AN25" s="11">
        <f t="shared" si="1"/>
        <v>387.87621258971984</v>
      </c>
      <c r="AO25" s="11">
        <f t="shared" si="1"/>
        <v>380.11868833792545</v>
      </c>
      <c r="AP25" s="11">
        <f t="shared" si="1"/>
        <v>372.51631457116696</v>
      </c>
    </row>
    <row r="26" spans="1:42">
      <c r="D26" s="35" t="s">
        <v>131</v>
      </c>
      <c r="E26">
        <f>E24*E25</f>
        <v>5450</v>
      </c>
      <c r="F26" t="s">
        <v>132</v>
      </c>
      <c r="O26" s="86" t="s">
        <v>133</v>
      </c>
      <c r="P26" t="s">
        <v>134</v>
      </c>
      <c r="Q26" s="6">
        <f>-PV($Q$22,25,R26)</f>
        <v>0</v>
      </c>
      <c r="R26" s="12">
        <f t="shared" ref="R26:AP26" si="2">$E$31</f>
        <v>0</v>
      </c>
      <c r="S26" s="12">
        <f t="shared" si="2"/>
        <v>0</v>
      </c>
      <c r="T26" s="12">
        <f t="shared" si="2"/>
        <v>0</v>
      </c>
      <c r="U26" s="12">
        <f t="shared" si="2"/>
        <v>0</v>
      </c>
      <c r="V26" s="12">
        <f t="shared" si="2"/>
        <v>0</v>
      </c>
      <c r="W26" s="12">
        <f t="shared" si="2"/>
        <v>0</v>
      </c>
      <c r="X26" s="12">
        <f t="shared" si="2"/>
        <v>0</v>
      </c>
      <c r="Y26" s="12">
        <f t="shared" si="2"/>
        <v>0</v>
      </c>
      <c r="Z26" s="12">
        <f t="shared" si="2"/>
        <v>0</v>
      </c>
      <c r="AA26" s="12">
        <f t="shared" si="2"/>
        <v>0</v>
      </c>
      <c r="AB26" s="12">
        <f t="shared" si="2"/>
        <v>0</v>
      </c>
      <c r="AC26" s="12">
        <f t="shared" si="2"/>
        <v>0</v>
      </c>
      <c r="AD26" s="12">
        <f t="shared" si="2"/>
        <v>0</v>
      </c>
      <c r="AE26" s="12">
        <f t="shared" si="2"/>
        <v>0</v>
      </c>
      <c r="AF26" s="12">
        <f t="shared" si="2"/>
        <v>0</v>
      </c>
      <c r="AG26" s="12">
        <f t="shared" si="2"/>
        <v>0</v>
      </c>
      <c r="AH26" s="12">
        <f t="shared" si="2"/>
        <v>0</v>
      </c>
      <c r="AI26" s="12">
        <f t="shared" si="2"/>
        <v>0</v>
      </c>
      <c r="AJ26" s="12">
        <f t="shared" si="2"/>
        <v>0</v>
      </c>
      <c r="AK26" s="12">
        <f t="shared" si="2"/>
        <v>0</v>
      </c>
      <c r="AL26" s="12">
        <f t="shared" si="2"/>
        <v>0</v>
      </c>
      <c r="AM26" s="12">
        <f t="shared" si="2"/>
        <v>0</v>
      </c>
      <c r="AN26" s="12">
        <f t="shared" si="2"/>
        <v>0</v>
      </c>
      <c r="AO26" s="12">
        <f t="shared" si="2"/>
        <v>0</v>
      </c>
      <c r="AP26" s="12">
        <f t="shared" si="2"/>
        <v>0</v>
      </c>
    </row>
    <row r="27" spans="1:42">
      <c r="D27" s="35" t="s">
        <v>135</v>
      </c>
      <c r="E27" s="87">
        <v>0</v>
      </c>
      <c r="P27" t="s">
        <v>136</v>
      </c>
      <c r="Q27" s="6">
        <f>PV($Q$22,1,R27)</f>
        <v>-7647.058823529419</v>
      </c>
      <c r="R27" s="12">
        <f>$E$35+$E$36</f>
        <v>7800</v>
      </c>
    </row>
    <row r="28" spans="1:42">
      <c r="D28" s="35" t="s">
        <v>137</v>
      </c>
      <c r="E28">
        <f>E24*E27</f>
        <v>0</v>
      </c>
      <c r="F28" t="s">
        <v>125</v>
      </c>
      <c r="P28" t="s">
        <v>138</v>
      </c>
      <c r="Q28" s="6">
        <f>NPV($Q$22,R28:AP28)</f>
        <v>8624.7753612246652</v>
      </c>
      <c r="R28" s="12">
        <f>$E$61</f>
        <v>545.72539500000005</v>
      </c>
      <c r="S28" s="11">
        <f t="shared" ref="S28:AP28" si="3">R28*0.98</f>
        <v>534.81088710000006</v>
      </c>
      <c r="T28" s="11">
        <f t="shared" si="3"/>
        <v>524.11466935800001</v>
      </c>
      <c r="U28" s="11">
        <f t="shared" si="3"/>
        <v>513.63237597084003</v>
      </c>
      <c r="V28" s="11">
        <f t="shared" si="3"/>
        <v>503.35972845142322</v>
      </c>
      <c r="W28" s="11">
        <f t="shared" si="3"/>
        <v>493.29253388239476</v>
      </c>
      <c r="X28" s="11">
        <f t="shared" si="3"/>
        <v>483.42668320474684</v>
      </c>
      <c r="Y28" s="11">
        <f t="shared" si="3"/>
        <v>473.75814954065191</v>
      </c>
      <c r="Z28" s="11">
        <f t="shared" si="3"/>
        <v>464.28298654983888</v>
      </c>
      <c r="AA28" s="11">
        <f t="shared" si="3"/>
        <v>454.99732681884211</v>
      </c>
      <c r="AB28" s="11">
        <f t="shared" si="3"/>
        <v>445.89738028246524</v>
      </c>
      <c r="AC28" s="11">
        <f t="shared" si="3"/>
        <v>436.97943267681592</v>
      </c>
      <c r="AD28" s="11">
        <f t="shared" si="3"/>
        <v>428.2398440232796</v>
      </c>
      <c r="AE28" s="11">
        <f t="shared" si="3"/>
        <v>419.67504714281398</v>
      </c>
      <c r="AF28" s="11">
        <f t="shared" si="3"/>
        <v>411.28154619995769</v>
      </c>
      <c r="AG28" s="11">
        <f t="shared" si="3"/>
        <v>403.05591527595851</v>
      </c>
      <c r="AH28" s="11">
        <f t="shared" si="3"/>
        <v>394.99479697043932</v>
      </c>
      <c r="AI28" s="11">
        <f t="shared" si="3"/>
        <v>387.09490103103053</v>
      </c>
      <c r="AJ28" s="11">
        <f t="shared" si="3"/>
        <v>379.35300301040991</v>
      </c>
      <c r="AK28" s="11">
        <f t="shared" si="3"/>
        <v>371.76594295020169</v>
      </c>
      <c r="AL28" s="11">
        <f t="shared" si="3"/>
        <v>364.33062409119765</v>
      </c>
      <c r="AM28" s="11">
        <f t="shared" si="3"/>
        <v>357.04401160937368</v>
      </c>
      <c r="AN28" s="11">
        <f t="shared" si="3"/>
        <v>349.90313137718618</v>
      </c>
      <c r="AO28" s="11">
        <f t="shared" si="3"/>
        <v>342.90506874964245</v>
      </c>
      <c r="AP28" s="11">
        <f t="shared" si="3"/>
        <v>336.04696737464963</v>
      </c>
    </row>
    <row r="29" spans="1:42">
      <c r="D29" s="35" t="s">
        <v>139</v>
      </c>
      <c r="E29">
        <v>25</v>
      </c>
      <c r="F29" t="s">
        <v>140</v>
      </c>
      <c r="P29" t="s">
        <v>141</v>
      </c>
      <c r="Q29" s="6">
        <f>NPV($Q$22,R29:AP29)</f>
        <v>663.22495040530953</v>
      </c>
      <c r="R29" s="11">
        <f>('Criteria Pollutants'!$G$6*R72)/100</f>
        <v>41.965000000000003</v>
      </c>
      <c r="S29" s="11">
        <f>('Criteria Pollutants'!$G$6*S72)/100</f>
        <v>41.125699999999995</v>
      </c>
      <c r="T29" s="11">
        <f>('Criteria Pollutants'!$G$6*T72)/100</f>
        <v>40.303186000000004</v>
      </c>
      <c r="U29" s="11">
        <f>('Criteria Pollutants'!$G$6*U72)/100</f>
        <v>39.497122279999999</v>
      </c>
      <c r="V29" s="11">
        <f>('Criteria Pollutants'!$G$6*V72)/100</f>
        <v>38.707179834400002</v>
      </c>
      <c r="W29" s="11">
        <f>('Criteria Pollutants'!$G$6*W72)/100</f>
        <v>37.933036237711995</v>
      </c>
      <c r="X29" s="11">
        <f>('Criteria Pollutants'!$G$6*X72)/100</f>
        <v>37.174375512957752</v>
      </c>
      <c r="Y29" s="11">
        <f>('Criteria Pollutants'!$G$6*Y72)/100</f>
        <v>36.430888002698602</v>
      </c>
      <c r="Z29" s="11">
        <f>('Criteria Pollutants'!$G$6*Z72)/100</f>
        <v>35.70227024264463</v>
      </c>
      <c r="AA29" s="11">
        <f>('Criteria Pollutants'!$G$6*AA72)/100</f>
        <v>34.988224837791734</v>
      </c>
      <c r="AB29" s="11">
        <f>('Criteria Pollutants'!$G$6*AB72)/100</f>
        <v>34.288460341035901</v>
      </c>
      <c r="AC29" s="11">
        <f>('Criteria Pollutants'!$G$6*AC72)/100</f>
        <v>33.602691134215178</v>
      </c>
      <c r="AD29" s="11">
        <f>('Criteria Pollutants'!$G$6*AD72)/100</f>
        <v>32.93063731153088</v>
      </c>
      <c r="AE29" s="11">
        <f>('Criteria Pollutants'!$G$6*AE72)/100</f>
        <v>32.272024565300256</v>
      </c>
      <c r="AF29" s="11">
        <f>('Criteria Pollutants'!$G$6*AF72)/100</f>
        <v>31.626584073994255</v>
      </c>
      <c r="AG29" s="11">
        <f>('Criteria Pollutants'!$G$6*AG72)/100</f>
        <v>30.994052392514369</v>
      </c>
      <c r="AH29" s="11">
        <f>('Criteria Pollutants'!$G$6*AH72)/100</f>
        <v>30.374171344664077</v>
      </c>
      <c r="AI29" s="11">
        <f>('Criteria Pollutants'!$G$6*AI72)/100</f>
        <v>29.766687917770795</v>
      </c>
      <c r="AJ29" s="11">
        <f>('Criteria Pollutants'!$G$6*AJ72)/100</f>
        <v>29.171354159415383</v>
      </c>
      <c r="AK29" s="11">
        <f>('Criteria Pollutants'!$G$6*AK72)/100</f>
        <v>28.587927076227075</v>
      </c>
      <c r="AL29" s="11">
        <f>('Criteria Pollutants'!$G$6*AL72)/100</f>
        <v>28.016168534702533</v>
      </c>
      <c r="AM29" s="11">
        <f>('Criteria Pollutants'!$G$6*AM72)/100</f>
        <v>27.45584516400848</v>
      </c>
      <c r="AN29" s="11">
        <f>('Criteria Pollutants'!$G$6*AN72)/100</f>
        <v>26.906728260728311</v>
      </c>
      <c r="AO29" s="11">
        <f>('Criteria Pollutants'!$G$6*AO72)/100</f>
        <v>26.368593695513745</v>
      </c>
      <c r="AP29" s="11">
        <f>('Criteria Pollutants'!$G$6*AP72)/100</f>
        <v>25.841221821603469</v>
      </c>
    </row>
    <row r="30" spans="1:42" ht="29.1">
      <c r="D30" s="35" t="s">
        <v>142</v>
      </c>
      <c r="E30">
        <f>(E26/1000)*F30</f>
        <v>604.95000000000005</v>
      </c>
      <c r="F30" s="6">
        <v>111</v>
      </c>
      <c r="G30" t="s">
        <v>143</v>
      </c>
      <c r="P30" t="s">
        <v>144</v>
      </c>
      <c r="Q30" s="6">
        <f>PV($Q$22,1,R30)</f>
        <v>-9068.6274509804007</v>
      </c>
      <c r="R30" s="6">
        <f>$E$69</f>
        <v>9250</v>
      </c>
    </row>
    <row r="31" spans="1:42">
      <c r="D31" s="35" t="s">
        <v>145</v>
      </c>
      <c r="E31" s="12">
        <f>E28*F31</f>
        <v>0</v>
      </c>
      <c r="F31" s="11">
        <v>146</v>
      </c>
      <c r="G31" s="89" t="s">
        <v>146</v>
      </c>
      <c r="P31" t="s">
        <v>147</v>
      </c>
      <c r="Q31" s="6">
        <f>(E65)*F79</f>
        <v>750</v>
      </c>
    </row>
    <row r="32" spans="1:42">
      <c r="D32" s="35" t="s">
        <v>148</v>
      </c>
      <c r="E32" s="12">
        <f>E28*F32</f>
        <v>0</v>
      </c>
      <c r="F32" s="6">
        <v>161</v>
      </c>
      <c r="G32" s="89" t="s">
        <v>149</v>
      </c>
      <c r="P32" s="14" t="s">
        <v>150</v>
      </c>
      <c r="Q32" s="32">
        <f>SUM(Q25:Q31)</f>
        <v>2883.0892962096841</v>
      </c>
    </row>
    <row r="33" spans="3:42">
      <c r="E33" s="12"/>
      <c r="F33" s="6"/>
      <c r="G33" s="89"/>
    </row>
    <row r="34" spans="3:42">
      <c r="C34" s="14" t="s">
        <v>151</v>
      </c>
      <c r="E34" s="12"/>
      <c r="F34" s="6"/>
      <c r="G34" s="89"/>
      <c r="O34" s="86" t="s">
        <v>122</v>
      </c>
      <c r="Q34" s="87">
        <v>0.02</v>
      </c>
    </row>
    <row r="35" spans="3:42">
      <c r="D35" s="35" t="s">
        <v>152</v>
      </c>
      <c r="E35" s="12">
        <f>E65*E66</f>
        <v>6000</v>
      </c>
      <c r="F35" s="6"/>
      <c r="G35" s="89"/>
    </row>
    <row r="36" spans="3:42">
      <c r="D36" s="35" t="s">
        <v>153</v>
      </c>
      <c r="E36" s="12">
        <f>E35*30%</f>
        <v>1800</v>
      </c>
      <c r="G36" t="s">
        <v>154</v>
      </c>
      <c r="O36" s="88" t="s">
        <v>155</v>
      </c>
      <c r="Q36" t="s">
        <v>156</v>
      </c>
      <c r="R36" s="16">
        <v>1</v>
      </c>
      <c r="S36" s="16">
        <f>R36+1</f>
        <v>2</v>
      </c>
      <c r="T36" s="16">
        <f t="shared" ref="T36:AP36" si="4">S36+1</f>
        <v>3</v>
      </c>
      <c r="U36" s="16">
        <f t="shared" si="4"/>
        <v>4</v>
      </c>
      <c r="V36" s="16">
        <f t="shared" si="4"/>
        <v>5</v>
      </c>
      <c r="W36" s="16">
        <f t="shared" si="4"/>
        <v>6</v>
      </c>
      <c r="X36" s="16">
        <f t="shared" si="4"/>
        <v>7</v>
      </c>
      <c r="Y36" s="16">
        <f t="shared" si="4"/>
        <v>8</v>
      </c>
      <c r="Z36" s="16">
        <f t="shared" si="4"/>
        <v>9</v>
      </c>
      <c r="AA36" s="16">
        <f t="shared" si="4"/>
        <v>10</v>
      </c>
      <c r="AB36" s="16">
        <f t="shared" si="4"/>
        <v>11</v>
      </c>
      <c r="AC36" s="16">
        <f t="shared" si="4"/>
        <v>12</v>
      </c>
      <c r="AD36" s="16">
        <f t="shared" si="4"/>
        <v>13</v>
      </c>
      <c r="AE36" s="16">
        <f t="shared" si="4"/>
        <v>14</v>
      </c>
      <c r="AF36" s="16">
        <f t="shared" si="4"/>
        <v>15</v>
      </c>
      <c r="AG36" s="16">
        <f t="shared" si="4"/>
        <v>16</v>
      </c>
      <c r="AH36" s="16">
        <f t="shared" si="4"/>
        <v>17</v>
      </c>
      <c r="AI36" s="16">
        <f t="shared" si="4"/>
        <v>18</v>
      </c>
      <c r="AJ36" s="16">
        <f t="shared" si="4"/>
        <v>19</v>
      </c>
      <c r="AK36" s="16">
        <f t="shared" si="4"/>
        <v>20</v>
      </c>
      <c r="AL36" s="16">
        <f t="shared" si="4"/>
        <v>21</v>
      </c>
      <c r="AM36" s="16">
        <f t="shared" si="4"/>
        <v>22</v>
      </c>
      <c r="AN36" s="16">
        <f t="shared" si="4"/>
        <v>23</v>
      </c>
      <c r="AO36" s="16">
        <f t="shared" si="4"/>
        <v>24</v>
      </c>
      <c r="AP36" s="16">
        <f t="shared" si="4"/>
        <v>25</v>
      </c>
    </row>
    <row r="37" spans="3:42">
      <c r="C37" s="14" t="s">
        <v>157</v>
      </c>
      <c r="O37" s="90" t="s">
        <v>129</v>
      </c>
      <c r="P37" t="s">
        <v>130</v>
      </c>
      <c r="Q37" s="6">
        <f>NPV($Q$34,R37:AP37)</f>
        <v>9560.7752590895307</v>
      </c>
      <c r="R37" s="11">
        <f>$E$30</f>
        <v>604.95000000000005</v>
      </c>
      <c r="S37" s="11">
        <f t="shared" ref="S37:AP37" si="5">R37*0.98</f>
        <v>592.851</v>
      </c>
      <c r="T37" s="11">
        <f t="shared" si="5"/>
        <v>580.99397999999997</v>
      </c>
      <c r="U37" s="11">
        <f t="shared" si="5"/>
        <v>569.37410039999997</v>
      </c>
      <c r="V37" s="11">
        <f t="shared" si="5"/>
        <v>557.98661839199997</v>
      </c>
      <c r="W37" s="11">
        <f t="shared" si="5"/>
        <v>546.82688602415999</v>
      </c>
      <c r="X37" s="11">
        <f t="shared" si="5"/>
        <v>535.89034830367677</v>
      </c>
      <c r="Y37" s="11">
        <f t="shared" si="5"/>
        <v>525.17254133760321</v>
      </c>
      <c r="Z37" s="11">
        <f t="shared" si="5"/>
        <v>514.66909051085111</v>
      </c>
      <c r="AA37" s="11">
        <f t="shared" si="5"/>
        <v>504.37570870063405</v>
      </c>
      <c r="AB37" s="11">
        <f t="shared" si="5"/>
        <v>494.28819452662134</v>
      </c>
      <c r="AC37" s="11">
        <f t="shared" si="5"/>
        <v>484.40243063608892</v>
      </c>
      <c r="AD37" s="11">
        <f t="shared" si="5"/>
        <v>474.71438202336714</v>
      </c>
      <c r="AE37" s="11">
        <f t="shared" si="5"/>
        <v>465.22009438289979</v>
      </c>
      <c r="AF37" s="11">
        <f t="shared" si="5"/>
        <v>455.91569249524179</v>
      </c>
      <c r="AG37" s="11">
        <f t="shared" si="5"/>
        <v>446.79737864533695</v>
      </c>
      <c r="AH37" s="11">
        <f t="shared" si="5"/>
        <v>437.86143107243021</v>
      </c>
      <c r="AI37" s="11">
        <f t="shared" si="5"/>
        <v>429.10420245098157</v>
      </c>
      <c r="AJ37" s="11">
        <f t="shared" si="5"/>
        <v>420.52211840196196</v>
      </c>
      <c r="AK37" s="11">
        <f t="shared" si="5"/>
        <v>412.11167603392272</v>
      </c>
      <c r="AL37" s="11">
        <f t="shared" si="5"/>
        <v>403.86944251324428</v>
      </c>
      <c r="AM37" s="11">
        <f t="shared" si="5"/>
        <v>395.79205366297941</v>
      </c>
      <c r="AN37" s="11">
        <f t="shared" si="5"/>
        <v>387.87621258971984</v>
      </c>
      <c r="AO37" s="11">
        <f t="shared" si="5"/>
        <v>380.11868833792545</v>
      </c>
      <c r="AP37" s="11">
        <f t="shared" si="5"/>
        <v>372.51631457116696</v>
      </c>
    </row>
    <row r="38" spans="3:42">
      <c r="D38" s="35" t="s">
        <v>158</v>
      </c>
      <c r="E38">
        <v>11.5</v>
      </c>
      <c r="O38" s="86" t="s">
        <v>133</v>
      </c>
      <c r="P38" t="s">
        <v>134</v>
      </c>
      <c r="Q38" s="6">
        <f>-PV($Q$22,25,R38)</f>
        <v>0</v>
      </c>
      <c r="R38" s="12">
        <f t="shared" ref="R38:AP38" si="6">$E$31</f>
        <v>0</v>
      </c>
      <c r="S38" s="12">
        <f t="shared" si="6"/>
        <v>0</v>
      </c>
      <c r="T38" s="12">
        <f t="shared" si="6"/>
        <v>0</v>
      </c>
      <c r="U38" s="12">
        <f t="shared" si="6"/>
        <v>0</v>
      </c>
      <c r="V38" s="12">
        <f t="shared" si="6"/>
        <v>0</v>
      </c>
      <c r="W38" s="12">
        <f t="shared" si="6"/>
        <v>0</v>
      </c>
      <c r="X38" s="12">
        <f t="shared" si="6"/>
        <v>0</v>
      </c>
      <c r="Y38" s="12">
        <f t="shared" si="6"/>
        <v>0</v>
      </c>
      <c r="Z38" s="12">
        <f t="shared" si="6"/>
        <v>0</v>
      </c>
      <c r="AA38" s="12">
        <f t="shared" si="6"/>
        <v>0</v>
      </c>
      <c r="AB38" s="12">
        <f t="shared" si="6"/>
        <v>0</v>
      </c>
      <c r="AC38" s="12">
        <f t="shared" si="6"/>
        <v>0</v>
      </c>
      <c r="AD38" s="12">
        <f t="shared" si="6"/>
        <v>0</v>
      </c>
      <c r="AE38" s="12">
        <f t="shared" si="6"/>
        <v>0</v>
      </c>
      <c r="AF38" s="12">
        <f t="shared" si="6"/>
        <v>0</v>
      </c>
      <c r="AG38" s="12">
        <f t="shared" si="6"/>
        <v>0</v>
      </c>
      <c r="AH38" s="12">
        <f t="shared" si="6"/>
        <v>0</v>
      </c>
      <c r="AI38" s="12">
        <f t="shared" si="6"/>
        <v>0</v>
      </c>
      <c r="AJ38" s="12">
        <f t="shared" si="6"/>
        <v>0</v>
      </c>
      <c r="AK38" s="12">
        <f t="shared" si="6"/>
        <v>0</v>
      </c>
      <c r="AL38" s="12">
        <f t="shared" si="6"/>
        <v>0</v>
      </c>
      <c r="AM38" s="12">
        <f t="shared" si="6"/>
        <v>0</v>
      </c>
      <c r="AN38" s="12">
        <f t="shared" si="6"/>
        <v>0</v>
      </c>
      <c r="AO38" s="12">
        <f t="shared" si="6"/>
        <v>0</v>
      </c>
      <c r="AP38" s="12">
        <f t="shared" si="6"/>
        <v>0</v>
      </c>
    </row>
    <row r="39" spans="3:42">
      <c r="D39" s="35" t="s">
        <v>159</v>
      </c>
      <c r="E39">
        <v>13.5</v>
      </c>
      <c r="P39" t="s">
        <v>136</v>
      </c>
      <c r="Q39" s="6">
        <f>PV($Q$22,1,R39)</f>
        <v>-7647.058823529419</v>
      </c>
      <c r="R39" s="12">
        <f>$E$35+$E$36</f>
        <v>7800</v>
      </c>
    </row>
    <row r="40" spans="3:42">
      <c r="D40" s="35" t="s">
        <v>160</v>
      </c>
      <c r="E40" s="20">
        <v>0.97499999999999998</v>
      </c>
      <c r="P40" t="s">
        <v>138</v>
      </c>
      <c r="Q40" s="6">
        <f>NPV($Q$22,R40:AP40)</f>
        <v>8624.7753612246652</v>
      </c>
      <c r="R40" s="12">
        <f>$E$61</f>
        <v>545.72539500000005</v>
      </c>
      <c r="S40" s="11">
        <f t="shared" ref="S40:AP40" si="7">R40*0.98</f>
        <v>534.81088710000006</v>
      </c>
      <c r="T40" s="11">
        <f t="shared" si="7"/>
        <v>524.11466935800001</v>
      </c>
      <c r="U40" s="11">
        <f t="shared" si="7"/>
        <v>513.63237597084003</v>
      </c>
      <c r="V40" s="11">
        <f t="shared" si="7"/>
        <v>503.35972845142322</v>
      </c>
      <c r="W40" s="11">
        <f t="shared" si="7"/>
        <v>493.29253388239476</v>
      </c>
      <c r="X40" s="11">
        <f t="shared" si="7"/>
        <v>483.42668320474684</v>
      </c>
      <c r="Y40" s="11">
        <f t="shared" si="7"/>
        <v>473.75814954065191</v>
      </c>
      <c r="Z40" s="11">
        <f t="shared" si="7"/>
        <v>464.28298654983888</v>
      </c>
      <c r="AA40" s="11">
        <f t="shared" si="7"/>
        <v>454.99732681884211</v>
      </c>
      <c r="AB40" s="11">
        <f t="shared" si="7"/>
        <v>445.89738028246524</v>
      </c>
      <c r="AC40" s="11">
        <f t="shared" si="7"/>
        <v>436.97943267681592</v>
      </c>
      <c r="AD40" s="11">
        <f t="shared" si="7"/>
        <v>428.2398440232796</v>
      </c>
      <c r="AE40" s="11">
        <f t="shared" si="7"/>
        <v>419.67504714281398</v>
      </c>
      <c r="AF40" s="11">
        <f t="shared" si="7"/>
        <v>411.28154619995769</v>
      </c>
      <c r="AG40" s="11">
        <f t="shared" si="7"/>
        <v>403.05591527595851</v>
      </c>
      <c r="AH40" s="11">
        <f t="shared" si="7"/>
        <v>394.99479697043932</v>
      </c>
      <c r="AI40" s="11">
        <f t="shared" si="7"/>
        <v>387.09490103103053</v>
      </c>
      <c r="AJ40" s="11">
        <f t="shared" si="7"/>
        <v>379.35300301040991</v>
      </c>
      <c r="AK40" s="11">
        <f t="shared" si="7"/>
        <v>371.76594295020169</v>
      </c>
      <c r="AL40" s="11">
        <f t="shared" si="7"/>
        <v>364.33062409119765</v>
      </c>
      <c r="AM40" s="11">
        <f t="shared" si="7"/>
        <v>357.04401160937368</v>
      </c>
      <c r="AN40" s="11">
        <f t="shared" si="7"/>
        <v>349.90313137718618</v>
      </c>
      <c r="AO40" s="11">
        <f t="shared" si="7"/>
        <v>342.90506874964245</v>
      </c>
      <c r="AP40" s="11">
        <f t="shared" si="7"/>
        <v>336.04696737464963</v>
      </c>
    </row>
    <row r="41" spans="3:42">
      <c r="D41" s="35" t="s">
        <v>161</v>
      </c>
      <c r="E41" s="87">
        <v>0.5</v>
      </c>
      <c r="P41" t="s">
        <v>141</v>
      </c>
      <c r="Q41" s="6">
        <f>NPV($Q$22,R41:AP41)</f>
        <v>663.22495040530953</v>
      </c>
      <c r="R41" s="11">
        <f>('Criteria Pollutants'!$G$6*R72)/100</f>
        <v>41.965000000000003</v>
      </c>
      <c r="S41" s="11">
        <f>('Criteria Pollutants'!$G$6*S72)/100</f>
        <v>41.125699999999995</v>
      </c>
      <c r="T41" s="11">
        <f>('Criteria Pollutants'!$G$6*T72)/100</f>
        <v>40.303186000000004</v>
      </c>
      <c r="U41" s="11">
        <f>('Criteria Pollutants'!$G$6*U72)/100</f>
        <v>39.497122279999999</v>
      </c>
      <c r="V41" s="11">
        <f>('Criteria Pollutants'!$G$6*V72)/100</f>
        <v>38.707179834400002</v>
      </c>
      <c r="W41" s="11">
        <f>('Criteria Pollutants'!$G$6*W72)/100</f>
        <v>37.933036237711995</v>
      </c>
      <c r="X41" s="11">
        <f>('Criteria Pollutants'!$G$6*X72)/100</f>
        <v>37.174375512957752</v>
      </c>
      <c r="Y41" s="11">
        <f>('Criteria Pollutants'!$G$6*Y72)/100</f>
        <v>36.430888002698602</v>
      </c>
      <c r="Z41" s="11">
        <f>('Criteria Pollutants'!$G$6*Z72)/100</f>
        <v>35.70227024264463</v>
      </c>
      <c r="AA41" s="11">
        <f>('Criteria Pollutants'!$G$6*AA72)/100</f>
        <v>34.988224837791734</v>
      </c>
      <c r="AB41" s="11">
        <f>('Criteria Pollutants'!$G$6*AB72)/100</f>
        <v>34.288460341035901</v>
      </c>
      <c r="AC41" s="11">
        <f>('Criteria Pollutants'!$G$6*AC72)/100</f>
        <v>33.602691134215178</v>
      </c>
      <c r="AD41" s="11">
        <f>('Criteria Pollutants'!$G$6*AD72)/100</f>
        <v>32.93063731153088</v>
      </c>
      <c r="AE41" s="11">
        <f>('Criteria Pollutants'!$G$6*AE72)/100</f>
        <v>32.272024565300256</v>
      </c>
      <c r="AF41" s="11">
        <f>('Criteria Pollutants'!$G$6*AF72)/100</f>
        <v>31.626584073994255</v>
      </c>
      <c r="AG41" s="11">
        <f>('Criteria Pollutants'!$G$6*AG72)/100</f>
        <v>30.994052392514369</v>
      </c>
      <c r="AH41" s="11">
        <f>('Criteria Pollutants'!$G$6*AH72)/100</f>
        <v>30.374171344664077</v>
      </c>
      <c r="AI41" s="11">
        <f>('Criteria Pollutants'!$G$6*AI72)/100</f>
        <v>29.766687917770795</v>
      </c>
      <c r="AJ41" s="11">
        <f>('Criteria Pollutants'!$G$6*AJ72)/100</f>
        <v>29.171354159415383</v>
      </c>
      <c r="AK41" s="11">
        <f>('Criteria Pollutants'!$G$6*AK72)/100</f>
        <v>28.587927076227075</v>
      </c>
      <c r="AL41" s="11">
        <f>('Criteria Pollutants'!$G$6*AL72)/100</f>
        <v>28.016168534702533</v>
      </c>
      <c r="AM41" s="11">
        <f>('Criteria Pollutants'!$G$6*AM72)/100</f>
        <v>27.45584516400848</v>
      </c>
      <c r="AN41" s="11">
        <f>('Criteria Pollutants'!$G$6*AN72)/100</f>
        <v>26.906728260728311</v>
      </c>
      <c r="AO41" s="11">
        <f>('Criteria Pollutants'!$G$6*AO72)/100</f>
        <v>26.368593695513745</v>
      </c>
      <c r="AP41" s="11">
        <f>('Criteria Pollutants'!$G$6*AP72)/100</f>
        <v>25.841221821603469</v>
      </c>
    </row>
    <row r="42" spans="3:42">
      <c r="D42" s="35" t="s">
        <v>135</v>
      </c>
      <c r="E42" s="87">
        <v>1</v>
      </c>
      <c r="P42" t="s">
        <v>144</v>
      </c>
      <c r="Q42" s="6">
        <f>PV($Q$22,1,R42)</f>
        <v>-9068.6274509804007</v>
      </c>
      <c r="R42" s="6">
        <f>$E$69</f>
        <v>9250</v>
      </c>
    </row>
    <row r="43" spans="3:42" ht="29.1">
      <c r="D43" s="35" t="s">
        <v>162</v>
      </c>
      <c r="E43" s="20">
        <f>1-E40</f>
        <v>2.5000000000000022E-2</v>
      </c>
      <c r="P43" t="s">
        <v>147</v>
      </c>
      <c r="Q43" s="6">
        <f>(E65)*F78</f>
        <v>1500</v>
      </c>
    </row>
    <row r="44" spans="3:42">
      <c r="D44" s="35" t="s">
        <v>163</v>
      </c>
      <c r="E44" s="11">
        <f>E30*E40</f>
        <v>589.82625000000007</v>
      </c>
      <c r="G44" t="s">
        <v>164</v>
      </c>
      <c r="P44" s="14" t="s">
        <v>150</v>
      </c>
      <c r="Q44" s="32">
        <f>SUM(Q37:Q43)</f>
        <v>3633.0892962096841</v>
      </c>
    </row>
    <row r="45" spans="3:42">
      <c r="D45" s="35" t="s">
        <v>165</v>
      </c>
      <c r="E45" s="12">
        <f>E38*E41*F31</f>
        <v>839.5</v>
      </c>
      <c r="G45" t="s">
        <v>166</v>
      </c>
    </row>
    <row r="46" spans="3:42">
      <c r="D46" s="35" t="s">
        <v>148</v>
      </c>
      <c r="E46" s="12">
        <f>E38*E41*F32</f>
        <v>925.75</v>
      </c>
      <c r="G46" t="s">
        <v>167</v>
      </c>
    </row>
    <row r="47" spans="3:42">
      <c r="C47" s="14" t="s">
        <v>151</v>
      </c>
      <c r="E47" s="12"/>
      <c r="O47" s="86" t="s">
        <v>122</v>
      </c>
      <c r="Q47" s="87">
        <v>0.02</v>
      </c>
    </row>
    <row r="48" spans="3:42">
      <c r="D48" s="35" t="s">
        <v>152</v>
      </c>
      <c r="E48" s="12">
        <f>E71*E72</f>
        <v>3720</v>
      </c>
    </row>
    <row r="49" spans="1:42">
      <c r="D49" s="35" t="s">
        <v>153</v>
      </c>
      <c r="E49" s="12">
        <f>E48*30%</f>
        <v>1116</v>
      </c>
      <c r="G49" t="s">
        <v>154</v>
      </c>
      <c r="O49" s="88" t="s">
        <v>168</v>
      </c>
      <c r="Q49" t="s">
        <v>169</v>
      </c>
      <c r="R49" s="16">
        <v>1</v>
      </c>
      <c r="S49" s="16">
        <f>R49+1</f>
        <v>2</v>
      </c>
      <c r="T49" s="16">
        <f t="shared" ref="T49:AP49" si="8">S49+1</f>
        <v>3</v>
      </c>
      <c r="U49" s="16">
        <f t="shared" si="8"/>
        <v>4</v>
      </c>
      <c r="V49" s="16">
        <f t="shared" si="8"/>
        <v>5</v>
      </c>
      <c r="W49" s="16">
        <f t="shared" si="8"/>
        <v>6</v>
      </c>
      <c r="X49" s="16">
        <f t="shared" si="8"/>
        <v>7</v>
      </c>
      <c r="Y49" s="16">
        <f t="shared" si="8"/>
        <v>8</v>
      </c>
      <c r="Z49" s="16">
        <f t="shared" si="8"/>
        <v>9</v>
      </c>
      <c r="AA49" s="16">
        <f t="shared" si="8"/>
        <v>10</v>
      </c>
      <c r="AB49" s="16">
        <f t="shared" si="8"/>
        <v>11</v>
      </c>
      <c r="AC49" s="16">
        <f t="shared" si="8"/>
        <v>12</v>
      </c>
      <c r="AD49" s="16">
        <f t="shared" si="8"/>
        <v>13</v>
      </c>
      <c r="AE49" s="16">
        <f t="shared" si="8"/>
        <v>14</v>
      </c>
      <c r="AF49" s="16">
        <f t="shared" si="8"/>
        <v>15</v>
      </c>
      <c r="AG49" s="16">
        <f t="shared" si="8"/>
        <v>16</v>
      </c>
      <c r="AH49" s="16">
        <f t="shared" si="8"/>
        <v>17</v>
      </c>
      <c r="AI49" s="16">
        <f t="shared" si="8"/>
        <v>18</v>
      </c>
      <c r="AJ49" s="16">
        <f t="shared" si="8"/>
        <v>19</v>
      </c>
      <c r="AK49" s="16">
        <f t="shared" si="8"/>
        <v>20</v>
      </c>
      <c r="AL49" s="16">
        <f t="shared" si="8"/>
        <v>21</v>
      </c>
      <c r="AM49" s="16">
        <f t="shared" si="8"/>
        <v>22</v>
      </c>
      <c r="AN49" s="16">
        <f t="shared" si="8"/>
        <v>23</v>
      </c>
      <c r="AO49" s="16">
        <f t="shared" si="8"/>
        <v>24</v>
      </c>
      <c r="AP49" s="16">
        <f t="shared" si="8"/>
        <v>25</v>
      </c>
    </row>
    <row r="50" spans="1:42">
      <c r="E50" s="12"/>
      <c r="O50" s="90" t="s">
        <v>129</v>
      </c>
      <c r="P50" t="s">
        <v>130</v>
      </c>
      <c r="Q50" s="6">
        <f>NPV($Q$47,R50:AP50)</f>
        <v>9321.7558776122896</v>
      </c>
      <c r="R50" s="11">
        <f>$E$44</f>
        <v>589.82625000000007</v>
      </c>
      <c r="S50" s="11">
        <f t="shared" ref="S50:AH51" si="9">R50*0.98</f>
        <v>578.0297250000001</v>
      </c>
      <c r="T50" s="11">
        <f t="shared" si="9"/>
        <v>566.46913050000012</v>
      </c>
      <c r="U50" s="11">
        <f t="shared" si="9"/>
        <v>555.13974789000008</v>
      </c>
      <c r="V50" s="11">
        <f t="shared" si="9"/>
        <v>544.03695293220005</v>
      </c>
      <c r="W50" s="11">
        <f t="shared" si="9"/>
        <v>533.156213873556</v>
      </c>
      <c r="X50" s="11">
        <f t="shared" si="9"/>
        <v>522.49308959608481</v>
      </c>
      <c r="Y50" s="11">
        <f t="shared" si="9"/>
        <v>512.04322780416305</v>
      </c>
      <c r="Z50" s="11">
        <f t="shared" si="9"/>
        <v>501.80236324807976</v>
      </c>
      <c r="AA50" s="11">
        <f t="shared" si="9"/>
        <v>491.76631598311815</v>
      </c>
      <c r="AB50" s="11">
        <f t="shared" si="9"/>
        <v>481.93098966345576</v>
      </c>
      <c r="AC50" s="11">
        <f t="shared" si="9"/>
        <v>472.29236987018663</v>
      </c>
      <c r="AD50" s="11">
        <f t="shared" si="9"/>
        <v>462.84652247278291</v>
      </c>
      <c r="AE50" s="11">
        <f t="shared" si="9"/>
        <v>453.58959202332721</v>
      </c>
      <c r="AF50" s="11">
        <f t="shared" si="9"/>
        <v>444.51780018286064</v>
      </c>
      <c r="AG50" s="11">
        <f t="shared" si="9"/>
        <v>435.62744417920339</v>
      </c>
      <c r="AH50" s="11">
        <f t="shared" si="9"/>
        <v>426.91489529561932</v>
      </c>
      <c r="AI50" s="11">
        <f t="shared" ref="AI50:AP50" si="10">AH50*0.98</f>
        <v>418.37659738970694</v>
      </c>
      <c r="AJ50" s="11">
        <f t="shared" si="10"/>
        <v>410.00906544191281</v>
      </c>
      <c r="AK50" s="11">
        <f t="shared" si="10"/>
        <v>401.80888413307457</v>
      </c>
      <c r="AL50" s="11">
        <f t="shared" si="10"/>
        <v>393.77270645041307</v>
      </c>
      <c r="AM50" s="11">
        <f t="shared" si="10"/>
        <v>385.89725232140478</v>
      </c>
      <c r="AN50" s="11">
        <f t="shared" si="10"/>
        <v>378.17930727497668</v>
      </c>
      <c r="AO50" s="11">
        <f t="shared" si="10"/>
        <v>370.61572112947715</v>
      </c>
      <c r="AP50" s="11">
        <f t="shared" si="10"/>
        <v>363.20340670688762</v>
      </c>
    </row>
    <row r="51" spans="1:42">
      <c r="E51" s="12"/>
      <c r="O51" s="86" t="s">
        <v>133</v>
      </c>
      <c r="P51" t="s">
        <v>134</v>
      </c>
      <c r="Q51" s="6">
        <f>NPV($Q$47,R51:AA51)</f>
        <v>14550.766515004931</v>
      </c>
      <c r="R51" s="12">
        <f>$E$45+$E$46</f>
        <v>1765.25</v>
      </c>
      <c r="S51" s="11">
        <f t="shared" si="9"/>
        <v>1729.9449999999999</v>
      </c>
      <c r="T51" s="11">
        <f t="shared" si="9"/>
        <v>1695.3461</v>
      </c>
      <c r="U51" s="11">
        <f t="shared" si="9"/>
        <v>1661.4391779999999</v>
      </c>
      <c r="V51" s="11">
        <f t="shared" si="9"/>
        <v>1628.2103944399998</v>
      </c>
      <c r="W51" s="11">
        <f t="shared" si="9"/>
        <v>1595.6461865511999</v>
      </c>
      <c r="X51" s="11">
        <f t="shared" si="9"/>
        <v>1563.7332628201759</v>
      </c>
      <c r="Y51" s="11">
        <f t="shared" si="9"/>
        <v>1532.4585975637724</v>
      </c>
      <c r="Z51" s="11">
        <f t="shared" si="9"/>
        <v>1501.8094256124969</v>
      </c>
      <c r="AA51" s="11">
        <f t="shared" si="9"/>
        <v>1471.7732371002469</v>
      </c>
      <c r="AB51" s="12">
        <f t="shared" ref="AB51:AP51" si="11">$E$31</f>
        <v>0</v>
      </c>
      <c r="AC51" s="12">
        <f t="shared" si="11"/>
        <v>0</v>
      </c>
      <c r="AD51" s="12">
        <f t="shared" si="11"/>
        <v>0</v>
      </c>
      <c r="AE51" s="12">
        <f t="shared" si="11"/>
        <v>0</v>
      </c>
      <c r="AF51" s="12">
        <f t="shared" si="11"/>
        <v>0</v>
      </c>
      <c r="AG51" s="12">
        <f t="shared" si="11"/>
        <v>0</v>
      </c>
      <c r="AH51" s="12">
        <f t="shared" si="11"/>
        <v>0</v>
      </c>
      <c r="AI51" s="12">
        <f t="shared" si="11"/>
        <v>0</v>
      </c>
      <c r="AJ51" s="12">
        <f t="shared" si="11"/>
        <v>0</v>
      </c>
      <c r="AK51" s="12">
        <f t="shared" si="11"/>
        <v>0</v>
      </c>
      <c r="AL51" s="12">
        <f t="shared" si="11"/>
        <v>0</v>
      </c>
      <c r="AM51" s="12">
        <f t="shared" si="11"/>
        <v>0</v>
      </c>
      <c r="AN51" s="12">
        <f t="shared" si="11"/>
        <v>0</v>
      </c>
      <c r="AO51" s="12">
        <f t="shared" si="11"/>
        <v>0</v>
      </c>
      <c r="AP51" s="12">
        <f t="shared" si="11"/>
        <v>0</v>
      </c>
    </row>
    <row r="52" spans="1:42">
      <c r="A52" s="56" t="s">
        <v>120</v>
      </c>
      <c r="E52" s="12"/>
      <c r="P52" t="s">
        <v>136</v>
      </c>
      <c r="Q52" s="6">
        <f>PV($Q47,1,R52)</f>
        <v>-12388.235294117658</v>
      </c>
      <c r="R52" s="12">
        <f>$E$35+$E$36+$E$48+$E$49</f>
        <v>12636</v>
      </c>
    </row>
    <row r="53" spans="1:42">
      <c r="A53" s="56"/>
      <c r="E53" s="12"/>
      <c r="P53" t="s">
        <v>138</v>
      </c>
      <c r="Q53" s="6">
        <f>NPV($Q$47,R53:AP53)</f>
        <v>8409.1559771940483</v>
      </c>
      <c r="R53" s="12">
        <f>$E$62</f>
        <v>532.08226012500006</v>
      </c>
      <c r="S53" s="11">
        <f t="shared" ref="S53:AP53" si="12">R53*0.98</f>
        <v>521.4406149225</v>
      </c>
      <c r="T53" s="11">
        <f t="shared" si="12"/>
        <v>511.01180262405001</v>
      </c>
      <c r="U53" s="11">
        <f t="shared" si="12"/>
        <v>500.79156657156898</v>
      </c>
      <c r="V53" s="11">
        <f t="shared" si="12"/>
        <v>490.77573524013758</v>
      </c>
      <c r="W53" s="11">
        <f t="shared" si="12"/>
        <v>480.96022053533483</v>
      </c>
      <c r="X53" s="11">
        <f t="shared" si="12"/>
        <v>471.34101612462814</v>
      </c>
      <c r="Y53" s="11">
        <f t="shared" si="12"/>
        <v>461.91419580213557</v>
      </c>
      <c r="Z53" s="11">
        <f t="shared" si="12"/>
        <v>452.67591188609282</v>
      </c>
      <c r="AA53" s="11">
        <f t="shared" si="12"/>
        <v>443.62239364837097</v>
      </c>
      <c r="AB53" s="11">
        <f t="shared" si="12"/>
        <v>434.74994577540355</v>
      </c>
      <c r="AC53" s="11">
        <f t="shared" si="12"/>
        <v>426.05494685989549</v>
      </c>
      <c r="AD53" s="11">
        <f t="shared" si="12"/>
        <v>417.53384792269759</v>
      </c>
      <c r="AE53" s="11">
        <f t="shared" si="12"/>
        <v>409.18317096424363</v>
      </c>
      <c r="AF53" s="11">
        <f t="shared" si="12"/>
        <v>400.99950754495876</v>
      </c>
      <c r="AG53" s="11">
        <f t="shared" si="12"/>
        <v>392.9795173940596</v>
      </c>
      <c r="AH53" s="11">
        <f t="shared" si="12"/>
        <v>385.11992704617842</v>
      </c>
      <c r="AI53" s="11">
        <f t="shared" si="12"/>
        <v>377.41752850525484</v>
      </c>
      <c r="AJ53" s="11">
        <f t="shared" si="12"/>
        <v>369.86917793514971</v>
      </c>
      <c r="AK53" s="11">
        <f t="shared" si="12"/>
        <v>362.47179437644672</v>
      </c>
      <c r="AL53" s="11">
        <f t="shared" si="12"/>
        <v>355.22235848891779</v>
      </c>
      <c r="AM53" s="11">
        <f t="shared" si="12"/>
        <v>348.11791131913941</v>
      </c>
      <c r="AN53" s="11">
        <f t="shared" si="12"/>
        <v>341.15555309275663</v>
      </c>
      <c r="AO53" s="11">
        <f t="shared" si="12"/>
        <v>334.33244203090152</v>
      </c>
      <c r="AP53" s="11">
        <f t="shared" si="12"/>
        <v>327.64579319028348</v>
      </c>
    </row>
    <row r="54" spans="1:42">
      <c r="B54" s="56" t="s">
        <v>80</v>
      </c>
      <c r="P54" t="s">
        <v>141</v>
      </c>
      <c r="Q54" s="6">
        <f>NPV($Q$47,R54:AP54)</f>
        <v>646.64432664517687</v>
      </c>
      <c r="R54" s="11">
        <f>('Criteria Pollutants'!$G$6*R73)/100</f>
        <v>40.915875</v>
      </c>
      <c r="S54" s="11">
        <f>('Criteria Pollutants'!$G$6*S73)/100</f>
        <v>40.097557500000001</v>
      </c>
      <c r="T54" s="11">
        <f>('Criteria Pollutants'!$G$6*T73)/100</f>
        <v>39.29560635</v>
      </c>
      <c r="U54" s="11">
        <f>('Criteria Pollutants'!$G$6*U73)/100</f>
        <v>38.509694223000004</v>
      </c>
      <c r="V54" s="11">
        <f>('Criteria Pollutants'!$G$6*V73)/100</f>
        <v>37.739500338539997</v>
      </c>
      <c r="W54" s="11">
        <f>('Criteria Pollutants'!$G$6*W73)/100</f>
        <v>36.984710331769193</v>
      </c>
      <c r="X54" s="11">
        <f>('Criteria Pollutants'!$G$6*X73)/100</f>
        <v>36.245016125133816</v>
      </c>
      <c r="Y54" s="11">
        <f>('Criteria Pollutants'!$G$6*Y73)/100</f>
        <v>35.520115802631132</v>
      </c>
      <c r="Z54" s="11">
        <f>('Criteria Pollutants'!$G$6*Z73)/100</f>
        <v>34.809713486578509</v>
      </c>
      <c r="AA54" s="11">
        <f>('Criteria Pollutants'!$G$6*AA73)/100</f>
        <v>34.113519216846939</v>
      </c>
      <c r="AB54" s="11">
        <f>('Criteria Pollutants'!$G$6*AB73)/100</f>
        <v>33.431248832510001</v>
      </c>
      <c r="AC54" s="11">
        <f>('Criteria Pollutants'!$G$6*AC73)/100</f>
        <v>32.7626238558598</v>
      </c>
      <c r="AD54" s="11">
        <f>('Criteria Pollutants'!$G$6*AD73)/100</f>
        <v>32.107371378742606</v>
      </c>
      <c r="AE54" s="11">
        <f>('Criteria Pollutants'!$G$6*AE73)/100</f>
        <v>31.465223951167751</v>
      </c>
      <c r="AF54" s="11">
        <f>('Criteria Pollutants'!$G$6*AF73)/100</f>
        <v>30.835919472144393</v>
      </c>
      <c r="AG54" s="11">
        <f>('Criteria Pollutants'!$G$6*AG73)/100</f>
        <v>30.219201082701506</v>
      </c>
      <c r="AH54" s="11">
        <f>('Criteria Pollutants'!$G$6*AH73)/100</f>
        <v>29.614817061047475</v>
      </c>
      <c r="AI54" s="11">
        <f>('Criteria Pollutants'!$G$6*AI73)/100</f>
        <v>29.022520719826524</v>
      </c>
      <c r="AJ54" s="11">
        <f>('Criteria Pollutants'!$G$6*AJ73)/100</f>
        <v>28.442070305429993</v>
      </c>
      <c r="AK54" s="11">
        <f>('Criteria Pollutants'!$G$6*AK73)/100</f>
        <v>27.873228899321393</v>
      </c>
      <c r="AL54" s="11">
        <f>('Criteria Pollutants'!$G$6*AL73)/100</f>
        <v>27.315764321334967</v>
      </c>
      <c r="AM54" s="11">
        <f>('Criteria Pollutants'!$G$6*AM73)/100</f>
        <v>26.769449034908266</v>
      </c>
      <c r="AN54" s="11">
        <f>('Criteria Pollutants'!$G$6*AN73)/100</f>
        <v>26.234060054210104</v>
      </c>
      <c r="AO54" s="11">
        <f>('Criteria Pollutants'!$G$6*AO73)/100</f>
        <v>25.709378853125905</v>
      </c>
      <c r="AP54" s="11">
        <f>('Criteria Pollutants'!$G$6*AP73)/100</f>
        <v>25.195191276063383</v>
      </c>
    </row>
    <row r="55" spans="1:42" ht="43.5">
      <c r="D55" s="35" t="s">
        <v>170</v>
      </c>
      <c r="P55" t="s">
        <v>144</v>
      </c>
      <c r="Q55" s="6">
        <f>PV($Q$22,1,R55)</f>
        <v>-14784.313725490209</v>
      </c>
      <c r="R55" s="6">
        <f>$E$69+$E$75</f>
        <v>15080</v>
      </c>
    </row>
    <row r="56" spans="1:42">
      <c r="B56" s="56" t="s">
        <v>138</v>
      </c>
      <c r="P56" t="s">
        <v>147</v>
      </c>
      <c r="Q56" s="6">
        <f>(E65+E71)*$F$82</f>
        <v>3645</v>
      </c>
    </row>
    <row r="57" spans="1:42">
      <c r="D57" s="35" t="s">
        <v>171</v>
      </c>
      <c r="E57" s="2">
        <f>(E26/1000)*E59</f>
        <v>1.6388150000000001</v>
      </c>
      <c r="P57" s="14" t="s">
        <v>150</v>
      </c>
      <c r="Q57" s="32">
        <f>SUM(Q50:Q56)</f>
        <v>9400.7736768485756</v>
      </c>
    </row>
    <row r="58" spans="1:42">
      <c r="D58" s="35" t="s">
        <v>172</v>
      </c>
      <c r="E58" s="2">
        <f>((E26*E40)/1000)*E59</f>
        <v>1.597844625</v>
      </c>
    </row>
    <row r="59" spans="1:42">
      <c r="D59" s="35" t="s">
        <v>173</v>
      </c>
      <c r="E59">
        <v>0.30070000000000002</v>
      </c>
      <c r="F59" t="s">
        <v>174</v>
      </c>
    </row>
    <row r="60" spans="1:42">
      <c r="D60" s="35" t="s">
        <v>175</v>
      </c>
      <c r="E60" s="11">
        <v>333</v>
      </c>
      <c r="F60" t="s">
        <v>176</v>
      </c>
      <c r="O60" s="86" t="s">
        <v>122</v>
      </c>
      <c r="Q60" s="87">
        <v>0.02</v>
      </c>
    </row>
    <row r="61" spans="1:42">
      <c r="D61" s="35" t="s">
        <v>177</v>
      </c>
      <c r="E61" s="11">
        <f>E57*$E$60</f>
        <v>545.72539500000005</v>
      </c>
      <c r="F61" t="s">
        <v>178</v>
      </c>
    </row>
    <row r="62" spans="1:42">
      <c r="D62" s="35" t="s">
        <v>179</v>
      </c>
      <c r="E62" s="11">
        <f>E58*$E$60</f>
        <v>532.08226012500006</v>
      </c>
      <c r="F62" t="s">
        <v>178</v>
      </c>
      <c r="O62" s="88" t="s">
        <v>180</v>
      </c>
      <c r="Q62" t="s">
        <v>181</v>
      </c>
      <c r="R62" s="16">
        <v>1</v>
      </c>
      <c r="S62" s="16">
        <f>R62+1</f>
        <v>2</v>
      </c>
      <c r="T62" s="16">
        <f t="shared" ref="T62:AP62" si="13">S62+1</f>
        <v>3</v>
      </c>
      <c r="U62" s="16">
        <f t="shared" si="13"/>
        <v>4</v>
      </c>
      <c r="V62" s="16">
        <f t="shared" si="13"/>
        <v>5</v>
      </c>
      <c r="W62" s="16">
        <f t="shared" si="13"/>
        <v>6</v>
      </c>
      <c r="X62" s="16">
        <f t="shared" si="13"/>
        <v>7</v>
      </c>
      <c r="Y62" s="16">
        <f t="shared" si="13"/>
        <v>8</v>
      </c>
      <c r="Z62" s="16">
        <f t="shared" si="13"/>
        <v>9</v>
      </c>
      <c r="AA62" s="16">
        <f t="shared" si="13"/>
        <v>10</v>
      </c>
      <c r="AB62" s="16">
        <f t="shared" si="13"/>
        <v>11</v>
      </c>
      <c r="AC62" s="16">
        <f t="shared" si="13"/>
        <v>12</v>
      </c>
      <c r="AD62" s="16">
        <f t="shared" si="13"/>
        <v>13</v>
      </c>
      <c r="AE62" s="16">
        <f t="shared" si="13"/>
        <v>14</v>
      </c>
      <c r="AF62" s="16">
        <f t="shared" si="13"/>
        <v>15</v>
      </c>
      <c r="AG62" s="16">
        <f t="shared" si="13"/>
        <v>16</v>
      </c>
      <c r="AH62" s="16">
        <f t="shared" si="13"/>
        <v>17</v>
      </c>
      <c r="AI62" s="16">
        <f t="shared" si="13"/>
        <v>18</v>
      </c>
      <c r="AJ62" s="16">
        <f t="shared" si="13"/>
        <v>19</v>
      </c>
      <c r="AK62" s="16">
        <f t="shared" si="13"/>
        <v>20</v>
      </c>
      <c r="AL62" s="16">
        <f t="shared" si="13"/>
        <v>21</v>
      </c>
      <c r="AM62" s="16">
        <f t="shared" si="13"/>
        <v>22</v>
      </c>
      <c r="AN62" s="16">
        <f t="shared" si="13"/>
        <v>23</v>
      </c>
      <c r="AO62" s="16">
        <f t="shared" si="13"/>
        <v>24</v>
      </c>
      <c r="AP62" s="16">
        <f t="shared" si="13"/>
        <v>25</v>
      </c>
    </row>
    <row r="63" spans="1:42">
      <c r="E63" s="11"/>
      <c r="O63" s="90" t="s">
        <v>129</v>
      </c>
      <c r="P63" t="s">
        <v>130</v>
      </c>
      <c r="Q63" s="6">
        <f>NPV($Q$60,R63:AP63)</f>
        <v>9321.7558776122896</v>
      </c>
      <c r="R63" s="11">
        <f>$E$44</f>
        <v>589.82625000000007</v>
      </c>
      <c r="S63" s="11">
        <f t="shared" ref="S63:AH64" si="14">R63*0.98</f>
        <v>578.0297250000001</v>
      </c>
      <c r="T63" s="11">
        <f t="shared" si="14"/>
        <v>566.46913050000012</v>
      </c>
      <c r="U63" s="11">
        <f t="shared" si="14"/>
        <v>555.13974789000008</v>
      </c>
      <c r="V63" s="11">
        <f t="shared" si="14"/>
        <v>544.03695293220005</v>
      </c>
      <c r="W63" s="11">
        <f t="shared" si="14"/>
        <v>533.156213873556</v>
      </c>
      <c r="X63" s="11">
        <f t="shared" si="14"/>
        <v>522.49308959608481</v>
      </c>
      <c r="Y63" s="11">
        <f t="shared" si="14"/>
        <v>512.04322780416305</v>
      </c>
      <c r="Z63" s="11">
        <f t="shared" si="14"/>
        <v>501.80236324807976</v>
      </c>
      <c r="AA63" s="11">
        <f t="shared" si="14"/>
        <v>491.76631598311815</v>
      </c>
      <c r="AB63" s="11">
        <f t="shared" si="14"/>
        <v>481.93098966345576</v>
      </c>
      <c r="AC63" s="11">
        <f t="shared" si="14"/>
        <v>472.29236987018663</v>
      </c>
      <c r="AD63" s="11">
        <f t="shared" si="14"/>
        <v>462.84652247278291</v>
      </c>
      <c r="AE63" s="11">
        <f t="shared" si="14"/>
        <v>453.58959202332721</v>
      </c>
      <c r="AF63" s="11">
        <f t="shared" si="14"/>
        <v>444.51780018286064</v>
      </c>
      <c r="AG63" s="11">
        <f t="shared" si="14"/>
        <v>435.62744417920339</v>
      </c>
      <c r="AH63" s="11">
        <f t="shared" si="14"/>
        <v>426.91489529561932</v>
      </c>
      <c r="AI63" s="11">
        <f t="shared" ref="AI63:AP63" si="15">AH63*0.98</f>
        <v>418.37659738970694</v>
      </c>
      <c r="AJ63" s="11">
        <f t="shared" si="15"/>
        <v>410.00906544191281</v>
      </c>
      <c r="AK63" s="11">
        <f t="shared" si="15"/>
        <v>401.80888413307457</v>
      </c>
      <c r="AL63" s="11">
        <f t="shared" si="15"/>
        <v>393.77270645041307</v>
      </c>
      <c r="AM63" s="11">
        <f t="shared" si="15"/>
        <v>385.89725232140478</v>
      </c>
      <c r="AN63" s="11">
        <f t="shared" si="15"/>
        <v>378.17930727497668</v>
      </c>
      <c r="AO63" s="11">
        <f t="shared" si="15"/>
        <v>370.61572112947715</v>
      </c>
      <c r="AP63" s="11">
        <f t="shared" si="15"/>
        <v>363.20340670688762</v>
      </c>
    </row>
    <row r="64" spans="1:42">
      <c r="B64" s="56" t="s">
        <v>182</v>
      </c>
      <c r="O64" s="86" t="s">
        <v>133</v>
      </c>
      <c r="P64" t="s">
        <v>134</v>
      </c>
      <c r="Q64" s="6">
        <f>NPV($Q$60,R64:AA64)</f>
        <v>14550.766515004931</v>
      </c>
      <c r="R64" s="12">
        <f>$E$45+$E$46</f>
        <v>1765.25</v>
      </c>
      <c r="S64" s="11">
        <f t="shared" si="14"/>
        <v>1729.9449999999999</v>
      </c>
      <c r="T64" s="11">
        <f t="shared" si="14"/>
        <v>1695.3461</v>
      </c>
      <c r="U64" s="11">
        <f t="shared" si="14"/>
        <v>1661.4391779999999</v>
      </c>
      <c r="V64" s="11">
        <f t="shared" si="14"/>
        <v>1628.2103944399998</v>
      </c>
      <c r="W64" s="11">
        <f t="shared" si="14"/>
        <v>1595.6461865511999</v>
      </c>
      <c r="X64" s="11">
        <f t="shared" si="14"/>
        <v>1563.7332628201759</v>
      </c>
      <c r="Y64" s="11">
        <f t="shared" si="14"/>
        <v>1532.4585975637724</v>
      </c>
      <c r="Z64" s="11">
        <f t="shared" si="14"/>
        <v>1501.8094256124969</v>
      </c>
      <c r="AA64" s="11">
        <f t="shared" si="14"/>
        <v>1471.7732371002469</v>
      </c>
      <c r="AB64" s="12">
        <f t="shared" ref="AB64:AP64" si="16">$E$31</f>
        <v>0</v>
      </c>
      <c r="AC64" s="12">
        <f t="shared" si="16"/>
        <v>0</v>
      </c>
      <c r="AD64" s="12">
        <f t="shared" si="16"/>
        <v>0</v>
      </c>
      <c r="AE64" s="12">
        <f t="shared" si="16"/>
        <v>0</v>
      </c>
      <c r="AF64" s="12">
        <f t="shared" si="16"/>
        <v>0</v>
      </c>
      <c r="AG64" s="12">
        <f t="shared" si="16"/>
        <v>0</v>
      </c>
      <c r="AH64" s="12">
        <f t="shared" si="16"/>
        <v>0</v>
      </c>
      <c r="AI64" s="12">
        <f t="shared" si="16"/>
        <v>0</v>
      </c>
      <c r="AJ64" s="12">
        <f t="shared" si="16"/>
        <v>0</v>
      </c>
      <c r="AK64" s="12">
        <f t="shared" si="16"/>
        <v>0</v>
      </c>
      <c r="AL64" s="12">
        <f t="shared" si="16"/>
        <v>0</v>
      </c>
      <c r="AM64" s="12">
        <f t="shared" si="16"/>
        <v>0</v>
      </c>
      <c r="AN64" s="12">
        <f t="shared" si="16"/>
        <v>0</v>
      </c>
      <c r="AO64" s="12">
        <f t="shared" si="16"/>
        <v>0</v>
      </c>
      <c r="AP64" s="12">
        <f t="shared" si="16"/>
        <v>0</v>
      </c>
    </row>
    <row r="65" spans="3:43">
      <c r="C65" t="s">
        <v>183</v>
      </c>
      <c r="D65" s="35" t="s">
        <v>184</v>
      </c>
      <c r="E65" s="6">
        <f>F65*E24*1000</f>
        <v>15000</v>
      </c>
      <c r="F65" s="6">
        <v>3</v>
      </c>
      <c r="G65" t="s">
        <v>185</v>
      </c>
      <c r="P65" t="s">
        <v>136</v>
      </c>
      <c r="Q65" s="6">
        <f>PV($Q$22,1,R65)</f>
        <v>-12388.235294117658</v>
      </c>
      <c r="R65" s="12">
        <f>$E$35+$E$36+$E$48+$E$49</f>
        <v>12636</v>
      </c>
    </row>
    <row r="66" spans="3:43">
      <c r="D66" s="35" t="s">
        <v>186</v>
      </c>
      <c r="E66" s="87">
        <v>0.4</v>
      </c>
      <c r="P66" t="s">
        <v>138</v>
      </c>
      <c r="Q66" s="6">
        <f>NPV($Q$60,R66:AP66)</f>
        <v>8409.1559771940483</v>
      </c>
      <c r="R66" s="12">
        <f>$E$62</f>
        <v>532.08226012500006</v>
      </c>
      <c r="S66" s="11">
        <f t="shared" ref="S66:AP66" si="17">R66*0.98</f>
        <v>521.4406149225</v>
      </c>
      <c r="T66" s="11">
        <f t="shared" si="17"/>
        <v>511.01180262405001</v>
      </c>
      <c r="U66" s="11">
        <f t="shared" si="17"/>
        <v>500.79156657156898</v>
      </c>
      <c r="V66" s="11">
        <f t="shared" si="17"/>
        <v>490.77573524013758</v>
      </c>
      <c r="W66" s="11">
        <f t="shared" si="17"/>
        <v>480.96022053533483</v>
      </c>
      <c r="X66" s="11">
        <f t="shared" si="17"/>
        <v>471.34101612462814</v>
      </c>
      <c r="Y66" s="11">
        <f t="shared" si="17"/>
        <v>461.91419580213557</v>
      </c>
      <c r="Z66" s="11">
        <f t="shared" si="17"/>
        <v>452.67591188609282</v>
      </c>
      <c r="AA66" s="11">
        <f t="shared" si="17"/>
        <v>443.62239364837097</v>
      </c>
      <c r="AB66" s="11">
        <f t="shared" si="17"/>
        <v>434.74994577540355</v>
      </c>
      <c r="AC66" s="11">
        <f t="shared" si="17"/>
        <v>426.05494685989549</v>
      </c>
      <c r="AD66" s="11">
        <f t="shared" si="17"/>
        <v>417.53384792269759</v>
      </c>
      <c r="AE66" s="11">
        <f t="shared" si="17"/>
        <v>409.18317096424363</v>
      </c>
      <c r="AF66" s="11">
        <f t="shared" si="17"/>
        <v>400.99950754495876</v>
      </c>
      <c r="AG66" s="11">
        <f t="shared" si="17"/>
        <v>392.9795173940596</v>
      </c>
      <c r="AH66" s="11">
        <f t="shared" si="17"/>
        <v>385.11992704617842</v>
      </c>
      <c r="AI66" s="11">
        <f t="shared" si="17"/>
        <v>377.41752850525484</v>
      </c>
      <c r="AJ66" s="11">
        <f t="shared" si="17"/>
        <v>369.86917793514971</v>
      </c>
      <c r="AK66" s="11">
        <f t="shared" si="17"/>
        <v>362.47179437644672</v>
      </c>
      <c r="AL66" s="11">
        <f t="shared" si="17"/>
        <v>355.22235848891779</v>
      </c>
      <c r="AM66" s="11">
        <f t="shared" si="17"/>
        <v>348.11791131913941</v>
      </c>
      <c r="AN66" s="11">
        <f t="shared" si="17"/>
        <v>341.15555309275663</v>
      </c>
      <c r="AO66" s="11">
        <f t="shared" si="17"/>
        <v>334.33244203090152</v>
      </c>
      <c r="AP66" s="11">
        <f t="shared" si="17"/>
        <v>327.64579319028348</v>
      </c>
    </row>
    <row r="67" spans="3:43">
      <c r="D67" s="35" t="s">
        <v>187</v>
      </c>
      <c r="E67" s="87">
        <v>0</v>
      </c>
      <c r="P67" t="s">
        <v>141</v>
      </c>
      <c r="Q67" s="6">
        <f>NPV($Q$60,R67:AP67)</f>
        <v>646.64432664517687</v>
      </c>
      <c r="R67" s="11">
        <f>('Criteria Pollutants'!$G$6*R73)/100</f>
        <v>40.915875</v>
      </c>
      <c r="S67" s="11">
        <f>('Criteria Pollutants'!$G$6*S73)/100</f>
        <v>40.097557500000001</v>
      </c>
      <c r="T67" s="11">
        <f>('Criteria Pollutants'!$G$6*T73)/100</f>
        <v>39.29560635</v>
      </c>
      <c r="U67" s="11">
        <f>('Criteria Pollutants'!$G$6*U73)/100</f>
        <v>38.509694223000004</v>
      </c>
      <c r="V67" s="11">
        <f>('Criteria Pollutants'!$G$6*V73)/100</f>
        <v>37.739500338539997</v>
      </c>
      <c r="W67" s="11">
        <f>('Criteria Pollutants'!$G$6*W73)/100</f>
        <v>36.984710331769193</v>
      </c>
      <c r="X67" s="11">
        <f>('Criteria Pollutants'!$G$6*X73)/100</f>
        <v>36.245016125133816</v>
      </c>
      <c r="Y67" s="11">
        <f>('Criteria Pollutants'!$G$6*Y73)/100</f>
        <v>35.520115802631132</v>
      </c>
      <c r="Z67" s="11">
        <f>('Criteria Pollutants'!$G$6*Z73)/100</f>
        <v>34.809713486578509</v>
      </c>
      <c r="AA67" s="11">
        <f>('Criteria Pollutants'!$G$6*AA73)/100</f>
        <v>34.113519216846939</v>
      </c>
      <c r="AB67" s="11">
        <f>('Criteria Pollutants'!$G$6*AB73)/100</f>
        <v>33.431248832510001</v>
      </c>
      <c r="AC67" s="11">
        <f>('Criteria Pollutants'!$G$6*AC73)/100</f>
        <v>32.7626238558598</v>
      </c>
      <c r="AD67" s="11">
        <f>('Criteria Pollutants'!$G$6*AD73)/100</f>
        <v>32.107371378742606</v>
      </c>
      <c r="AE67" s="11">
        <f>('Criteria Pollutants'!$G$6*AE73)/100</f>
        <v>31.465223951167751</v>
      </c>
      <c r="AF67" s="11">
        <f>('Criteria Pollutants'!$G$6*AF73)/100</f>
        <v>30.835919472144393</v>
      </c>
      <c r="AG67" s="11">
        <f>('Criteria Pollutants'!$G$6*AG73)/100</f>
        <v>30.219201082701506</v>
      </c>
      <c r="AH67" s="11">
        <f>('Criteria Pollutants'!$G$6*AH73)/100</f>
        <v>29.614817061047475</v>
      </c>
      <c r="AI67" s="11">
        <f>('Criteria Pollutants'!$G$6*AI73)/100</f>
        <v>29.022520719826524</v>
      </c>
      <c r="AJ67" s="11">
        <f>('Criteria Pollutants'!$G$6*AJ73)/100</f>
        <v>28.442070305429993</v>
      </c>
      <c r="AK67" s="11">
        <f>('Criteria Pollutants'!$G$6*AK73)/100</f>
        <v>27.873228899321393</v>
      </c>
      <c r="AL67" s="11">
        <f>('Criteria Pollutants'!$G$6*AL73)/100</f>
        <v>27.315764321334967</v>
      </c>
      <c r="AM67" s="11">
        <f>('Criteria Pollutants'!$G$6*AM73)/100</f>
        <v>26.769449034908266</v>
      </c>
      <c r="AN67" s="11">
        <f>('Criteria Pollutants'!$G$6*AN73)/100</f>
        <v>26.234060054210104</v>
      </c>
      <c r="AO67" s="11">
        <f>('Criteria Pollutants'!$G$6*AO73)/100</f>
        <v>25.709378853125905</v>
      </c>
      <c r="AP67" s="11">
        <f>('Criteria Pollutants'!$G$6*AP73)/100</f>
        <v>25.195191276063383</v>
      </c>
    </row>
    <row r="68" spans="3:43">
      <c r="D68" s="35" t="s">
        <v>188</v>
      </c>
      <c r="E68" s="11">
        <v>250</v>
      </c>
      <c r="P68" t="s">
        <v>144</v>
      </c>
      <c r="Q68" s="6">
        <f>PV($Q$22,1,R68)</f>
        <v>-14784.313725490209</v>
      </c>
      <c r="R68" s="6">
        <f>$E$69+$E$75</f>
        <v>15080</v>
      </c>
    </row>
    <row r="69" spans="3:43">
      <c r="D69" s="35" t="s">
        <v>189</v>
      </c>
      <c r="E69" s="6">
        <f>(E65*(1-E66)-(E65*(1-E66)*E67))+E68</f>
        <v>9250</v>
      </c>
      <c r="P69" t="s">
        <v>147</v>
      </c>
      <c r="Q69" s="6">
        <f>(E65+E71)*$F$81</f>
        <v>7290</v>
      </c>
    </row>
    <row r="70" spans="3:43">
      <c r="P70" s="14" t="s">
        <v>150</v>
      </c>
      <c r="Q70" s="32">
        <f>SUM(Q63:Q69)</f>
        <v>13045.773676848576</v>
      </c>
    </row>
    <row r="71" spans="3:43" ht="29.1">
      <c r="C71" t="s">
        <v>190</v>
      </c>
      <c r="D71" s="35" t="s">
        <v>191</v>
      </c>
      <c r="E71" s="11">
        <v>9300</v>
      </c>
      <c r="G71" t="s">
        <v>192</v>
      </c>
      <c r="AQ71" t="s">
        <v>193</v>
      </c>
    </row>
    <row r="72" spans="3:43">
      <c r="D72" s="35" t="s">
        <v>186</v>
      </c>
      <c r="E72" s="87">
        <v>0.4</v>
      </c>
      <c r="P72" t="s">
        <v>194</v>
      </c>
      <c r="R72" s="4">
        <f>E26</f>
        <v>5450</v>
      </c>
      <c r="S72" s="4">
        <f>R72*0.98</f>
        <v>5341</v>
      </c>
      <c r="T72" s="4">
        <f t="shared" ref="T72:AP72" si="18">S72*0.98</f>
        <v>5234.18</v>
      </c>
      <c r="U72" s="4">
        <f t="shared" si="18"/>
        <v>5129.4964</v>
      </c>
      <c r="V72" s="4">
        <f t="shared" si="18"/>
        <v>5026.9064719999997</v>
      </c>
      <c r="W72" s="4">
        <f t="shared" si="18"/>
        <v>4926.3683425599993</v>
      </c>
      <c r="X72" s="4">
        <f t="shared" si="18"/>
        <v>4827.8409757087993</v>
      </c>
      <c r="Y72" s="4">
        <f t="shared" si="18"/>
        <v>4731.2841561946234</v>
      </c>
      <c r="Z72" s="4">
        <f t="shared" si="18"/>
        <v>4636.6584730707309</v>
      </c>
      <c r="AA72" s="4">
        <f t="shared" si="18"/>
        <v>4543.925303609316</v>
      </c>
      <c r="AB72" s="4">
        <f t="shared" si="18"/>
        <v>4453.0467975371294</v>
      </c>
      <c r="AC72" s="4">
        <f t="shared" si="18"/>
        <v>4363.9858615863868</v>
      </c>
      <c r="AD72" s="4">
        <f t="shared" si="18"/>
        <v>4276.706144354659</v>
      </c>
      <c r="AE72" s="4">
        <f t="shared" si="18"/>
        <v>4191.1720214675661</v>
      </c>
      <c r="AF72" s="4">
        <f t="shared" si="18"/>
        <v>4107.3485810382144</v>
      </c>
      <c r="AG72" s="4">
        <f t="shared" si="18"/>
        <v>4025.2016094174501</v>
      </c>
      <c r="AH72" s="4">
        <f t="shared" si="18"/>
        <v>3944.6975772291012</v>
      </c>
      <c r="AI72" s="4">
        <f t="shared" si="18"/>
        <v>3865.8036256845189</v>
      </c>
      <c r="AJ72" s="4">
        <f t="shared" si="18"/>
        <v>3788.4875531708285</v>
      </c>
      <c r="AK72" s="4">
        <f t="shared" si="18"/>
        <v>3712.7178021074119</v>
      </c>
      <c r="AL72" s="4">
        <f t="shared" si="18"/>
        <v>3638.4634460652637</v>
      </c>
      <c r="AM72" s="4">
        <f t="shared" si="18"/>
        <v>3565.6941771439583</v>
      </c>
      <c r="AN72" s="4">
        <f t="shared" si="18"/>
        <v>3494.3802936010793</v>
      </c>
      <c r="AO72" s="4">
        <f t="shared" si="18"/>
        <v>3424.4926877290577</v>
      </c>
      <c r="AP72" s="4">
        <f t="shared" si="18"/>
        <v>3356.0028339744763</v>
      </c>
      <c r="AQ72">
        <f>SUM(R72:AP72)</f>
        <v>108055.86113525055</v>
      </c>
    </row>
    <row r="73" spans="3:43">
      <c r="D73" s="35" t="s">
        <v>187</v>
      </c>
      <c r="E73" s="87">
        <v>0</v>
      </c>
      <c r="P73" t="s">
        <v>195</v>
      </c>
      <c r="R73" s="4">
        <f t="shared" ref="R73:AP73" si="19">R72*$E$40</f>
        <v>5313.75</v>
      </c>
      <c r="S73" s="4">
        <f t="shared" si="19"/>
        <v>5207.4749999999995</v>
      </c>
      <c r="T73" s="4">
        <f t="shared" si="19"/>
        <v>5103.3254999999999</v>
      </c>
      <c r="U73" s="4">
        <f t="shared" si="19"/>
        <v>5001.2589900000003</v>
      </c>
      <c r="V73" s="4">
        <f t="shared" si="19"/>
        <v>4901.2338101999994</v>
      </c>
      <c r="W73" s="4">
        <f t="shared" si="19"/>
        <v>4803.2091339959989</v>
      </c>
      <c r="X73" s="4">
        <f t="shared" si="19"/>
        <v>4707.1449513160796</v>
      </c>
      <c r="Y73" s="4">
        <f t="shared" si="19"/>
        <v>4613.0020522897576</v>
      </c>
      <c r="Z73" s="4">
        <f t="shared" si="19"/>
        <v>4520.7420112439622</v>
      </c>
      <c r="AA73" s="4">
        <f t="shared" si="19"/>
        <v>4430.3271710190829</v>
      </c>
      <c r="AB73" s="4">
        <f t="shared" si="19"/>
        <v>4341.720627598701</v>
      </c>
      <c r="AC73" s="4">
        <f t="shared" si="19"/>
        <v>4254.8862150467266</v>
      </c>
      <c r="AD73" s="4">
        <f t="shared" si="19"/>
        <v>4169.7884907457928</v>
      </c>
      <c r="AE73" s="4">
        <f t="shared" si="19"/>
        <v>4086.3927209308767</v>
      </c>
      <c r="AF73" s="4">
        <f t="shared" si="19"/>
        <v>4004.6648665122589</v>
      </c>
      <c r="AG73" s="4">
        <f t="shared" si="19"/>
        <v>3924.5715691820137</v>
      </c>
      <c r="AH73" s="4">
        <f t="shared" si="19"/>
        <v>3846.0801377983735</v>
      </c>
      <c r="AI73" s="4">
        <f t="shared" si="19"/>
        <v>3769.1585350424057</v>
      </c>
      <c r="AJ73" s="4">
        <f t="shared" si="19"/>
        <v>3693.7753643415576</v>
      </c>
      <c r="AK73" s="4">
        <f t="shared" si="19"/>
        <v>3619.8998570547265</v>
      </c>
      <c r="AL73" s="4">
        <f t="shared" si="19"/>
        <v>3547.501859913632</v>
      </c>
      <c r="AM73" s="4">
        <f t="shared" si="19"/>
        <v>3476.5518227153593</v>
      </c>
      <c r="AN73" s="4">
        <f t="shared" si="19"/>
        <v>3407.0207862610523</v>
      </c>
      <c r="AO73" s="4">
        <f t="shared" si="19"/>
        <v>3338.8803705358314</v>
      </c>
      <c r="AP73" s="4">
        <f t="shared" si="19"/>
        <v>3272.1027631251145</v>
      </c>
    </row>
    <row r="74" spans="3:43">
      <c r="D74" s="35" t="s">
        <v>188</v>
      </c>
      <c r="E74" s="11">
        <v>250</v>
      </c>
    </row>
    <row r="75" spans="3:43">
      <c r="D75" s="35" t="s">
        <v>189</v>
      </c>
      <c r="E75" s="6">
        <f>(E71*(1-E72)-(E71*(1-E72)*E73))+E74</f>
        <v>5830</v>
      </c>
    </row>
    <row r="77" spans="3:43">
      <c r="C77" t="s">
        <v>196</v>
      </c>
    </row>
    <row r="78" spans="3:43">
      <c r="C78" t="s">
        <v>197</v>
      </c>
      <c r="D78" s="35" t="s">
        <v>198</v>
      </c>
      <c r="F78" s="87">
        <v>0.1</v>
      </c>
      <c r="G78" t="s">
        <v>199</v>
      </c>
    </row>
    <row r="79" spans="3:43">
      <c r="D79" s="35" t="s">
        <v>200</v>
      </c>
      <c r="F79" s="87">
        <v>0.05</v>
      </c>
      <c r="G79" t="s">
        <v>199</v>
      </c>
    </row>
    <row r="80" spans="3:43">
      <c r="X80" s="28"/>
    </row>
    <row r="81" spans="3:24">
      <c r="C81" t="s">
        <v>201</v>
      </c>
      <c r="D81" s="35" t="s">
        <v>198</v>
      </c>
      <c r="F81" s="87">
        <v>0.3</v>
      </c>
      <c r="G81" t="s">
        <v>199</v>
      </c>
      <c r="X81" s="129"/>
    </row>
    <row r="82" spans="3:24">
      <c r="D82" s="35" t="s">
        <v>200</v>
      </c>
      <c r="F82" s="87">
        <v>0.15</v>
      </c>
      <c r="G82" t="s">
        <v>199</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965CE-A1E5-4F87-B08D-8F32842EC0E6}">
  <sheetPr>
    <tabColor theme="5" tint="0.59999389629810485"/>
  </sheetPr>
  <dimension ref="D1:H51"/>
  <sheetViews>
    <sheetView showGridLines="0" topLeftCell="A8" zoomScale="55" zoomScaleNormal="55" workbookViewId="0">
      <selection activeCell="H5" sqref="H5"/>
    </sheetView>
  </sheetViews>
  <sheetFormatPr defaultRowHeight="14.45"/>
  <cols>
    <col min="4" max="4" width="14.85546875" customWidth="1"/>
    <col min="5" max="5" width="15.85546875" customWidth="1"/>
    <col min="6" max="6" width="32.42578125" customWidth="1"/>
    <col min="7" max="7" width="32.85546875" customWidth="1"/>
    <col min="8" max="8" width="16.42578125" customWidth="1"/>
  </cols>
  <sheetData>
    <row r="1" spans="4:8" ht="35.1" customHeight="1"/>
    <row r="2" spans="4:8" ht="20.45" customHeight="1">
      <c r="D2" s="222" t="s">
        <v>202</v>
      </c>
      <c r="E2" s="222"/>
      <c r="F2" s="222"/>
      <c r="G2" s="222"/>
      <c r="H2" s="222"/>
    </row>
    <row r="3" spans="4:8" ht="24" customHeight="1">
      <c r="D3" s="208" t="s">
        <v>203</v>
      </c>
      <c r="E3" s="208"/>
      <c r="F3" s="208"/>
      <c r="G3" s="208"/>
      <c r="H3" s="208"/>
    </row>
    <row r="4" spans="4:8" ht="44.45" customHeight="1">
      <c r="D4" s="52"/>
      <c r="E4" s="130" t="s">
        <v>36</v>
      </c>
      <c r="F4" s="130" t="s">
        <v>37</v>
      </c>
      <c r="G4" s="131" t="s">
        <v>38</v>
      </c>
      <c r="H4" s="131" t="s">
        <v>204</v>
      </c>
    </row>
    <row r="5" spans="4:8" ht="29.1">
      <c r="D5" s="196" t="s">
        <v>42</v>
      </c>
      <c r="E5" s="199" t="s">
        <v>43</v>
      </c>
      <c r="F5" s="38" t="s">
        <v>44</v>
      </c>
      <c r="G5" s="40" t="s">
        <v>45</v>
      </c>
      <c r="H5" s="106">
        <f>-'Other Fuel Impact Heating O (2)'!N48</f>
        <v>-6849.1224974673232</v>
      </c>
    </row>
    <row r="6" spans="4:8" ht="29.1">
      <c r="D6" s="197"/>
      <c r="E6" s="199"/>
      <c r="F6" s="38" t="s">
        <v>46</v>
      </c>
      <c r="G6" s="40" t="s">
        <v>45</v>
      </c>
      <c r="H6" s="106">
        <f>-'Other Fuel Impact Heating O (2)'!W48</f>
        <v>-8703.4989436979977</v>
      </c>
    </row>
    <row r="7" spans="4:8" ht="15.6">
      <c r="D7" s="197"/>
      <c r="E7" s="199"/>
      <c r="F7" s="38" t="s">
        <v>47</v>
      </c>
      <c r="G7" s="40" t="s">
        <v>48</v>
      </c>
      <c r="H7" s="42">
        <v>0</v>
      </c>
    </row>
    <row r="8" spans="4:8" ht="15.6">
      <c r="D8" s="197"/>
      <c r="E8" s="199"/>
      <c r="F8" s="38" t="s">
        <v>49</v>
      </c>
      <c r="G8" s="40" t="s">
        <v>48</v>
      </c>
      <c r="H8" s="42">
        <v>0</v>
      </c>
    </row>
    <row r="9" spans="4:8" ht="15.6">
      <c r="D9" s="197"/>
      <c r="E9" s="199"/>
      <c r="F9" s="39" t="s">
        <v>50</v>
      </c>
      <c r="G9" s="40" t="s">
        <v>51</v>
      </c>
      <c r="H9" s="42">
        <v>0</v>
      </c>
    </row>
    <row r="10" spans="4:8" ht="15.6">
      <c r="D10" s="197"/>
      <c r="E10" s="199"/>
      <c r="F10" s="38" t="s">
        <v>52</v>
      </c>
      <c r="G10" s="40" t="s">
        <v>48</v>
      </c>
      <c r="H10" s="42">
        <v>0</v>
      </c>
    </row>
    <row r="11" spans="4:8" ht="29.1">
      <c r="D11" s="197"/>
      <c r="E11" s="199" t="s">
        <v>53</v>
      </c>
      <c r="F11" s="38" t="s">
        <v>54</v>
      </c>
      <c r="G11" s="40" t="s">
        <v>55</v>
      </c>
      <c r="H11" s="106">
        <f>-'Other Fuel Impact Heating O (2)'!X48*0.5</f>
        <v>-1859.6901287165745</v>
      </c>
    </row>
    <row r="12" spans="4:8" ht="31.35" customHeight="1">
      <c r="D12" s="197"/>
      <c r="E12" s="199"/>
      <c r="F12" s="38" t="s">
        <v>56</v>
      </c>
      <c r="G12" s="40" t="s">
        <v>57</v>
      </c>
      <c r="H12" s="43"/>
    </row>
    <row r="13" spans="4:8" ht="29.1">
      <c r="D13" s="197"/>
      <c r="E13" s="199" t="s">
        <v>58</v>
      </c>
      <c r="F13" s="38" t="s">
        <v>59</v>
      </c>
      <c r="G13" s="40" t="s">
        <v>60</v>
      </c>
      <c r="H13" s="106">
        <f>-'Other Fuel Impact Heating O (2)'!X48*0.5</f>
        <v>-1859.6901287165745</v>
      </c>
    </row>
    <row r="14" spans="4:8" ht="33.6" customHeight="1">
      <c r="D14" s="197"/>
      <c r="E14" s="199"/>
      <c r="F14" s="38" t="s">
        <v>61</v>
      </c>
      <c r="G14" s="40" t="s">
        <v>57</v>
      </c>
      <c r="H14" s="43"/>
    </row>
    <row r="15" spans="4:8" ht="15.6">
      <c r="D15" s="197"/>
      <c r="E15" s="199"/>
      <c r="F15" s="38" t="s">
        <v>62</v>
      </c>
      <c r="G15" s="40" t="s">
        <v>48</v>
      </c>
      <c r="H15" s="42">
        <v>0</v>
      </c>
    </row>
    <row r="16" spans="4:8" ht="15.6">
      <c r="D16" s="197"/>
      <c r="E16" s="199"/>
      <c r="F16" s="38" t="s">
        <v>63</v>
      </c>
      <c r="G16" s="40" t="s">
        <v>64</v>
      </c>
      <c r="H16" s="46" t="s">
        <v>64</v>
      </c>
    </row>
    <row r="17" spans="4:8" ht="15.6">
      <c r="D17" s="197"/>
      <c r="E17" s="199" t="s">
        <v>65</v>
      </c>
      <c r="F17" s="38" t="s">
        <v>66</v>
      </c>
      <c r="G17" s="40" t="s">
        <v>67</v>
      </c>
      <c r="H17" s="106">
        <f>-'Other Fuel Impact Heating O (2)'!AA33</f>
        <v>-19607.843137254902</v>
      </c>
    </row>
    <row r="18" spans="4:8" ht="15.6">
      <c r="D18" s="197"/>
      <c r="E18" s="199"/>
      <c r="F18" s="38" t="s">
        <v>68</v>
      </c>
      <c r="G18" s="40" t="s">
        <v>69</v>
      </c>
      <c r="H18" s="42">
        <v>0</v>
      </c>
    </row>
    <row r="19" spans="4:8" ht="15.6">
      <c r="D19" s="197"/>
      <c r="E19" s="199"/>
      <c r="F19" s="38" t="s">
        <v>70</v>
      </c>
      <c r="G19" s="40" t="s">
        <v>71</v>
      </c>
      <c r="H19" s="106">
        <f>-'Other Fuel Impact Heating O (2)'!AB33</f>
        <v>-3431.3725490196075</v>
      </c>
    </row>
    <row r="20" spans="4:8" ht="15.6">
      <c r="D20" s="197"/>
      <c r="E20" s="199"/>
      <c r="F20" s="38" t="s">
        <v>72</v>
      </c>
      <c r="G20" s="42" t="s">
        <v>51</v>
      </c>
      <c r="H20" s="42">
        <v>0</v>
      </c>
    </row>
    <row r="21" spans="4:8" ht="15.6">
      <c r="D21" s="197"/>
      <c r="E21" s="199"/>
      <c r="F21" s="38" t="s">
        <v>73</v>
      </c>
      <c r="G21" s="42" t="s">
        <v>74</v>
      </c>
      <c r="H21" s="43"/>
    </row>
    <row r="22" spans="4:8" ht="15.6">
      <c r="D22" s="197"/>
      <c r="E22" s="199"/>
      <c r="F22" s="38" t="s">
        <v>75</v>
      </c>
      <c r="G22" s="42" t="s">
        <v>74</v>
      </c>
      <c r="H22" s="43"/>
    </row>
    <row r="23" spans="4:8" ht="15.6">
      <c r="D23" s="197"/>
      <c r="E23" s="199"/>
      <c r="F23" s="38" t="s">
        <v>76</v>
      </c>
      <c r="G23" s="40" t="s">
        <v>48</v>
      </c>
      <c r="H23" s="42">
        <v>0</v>
      </c>
    </row>
    <row r="24" spans="4:8" ht="15.6">
      <c r="D24" s="197"/>
      <c r="E24" s="199"/>
      <c r="F24" s="38" t="s">
        <v>77</v>
      </c>
      <c r="G24" s="42" t="s">
        <v>64</v>
      </c>
      <c r="H24" s="46" t="s">
        <v>64</v>
      </c>
    </row>
    <row r="25" spans="4:8">
      <c r="D25" s="53"/>
      <c r="E25" s="204" t="s">
        <v>78</v>
      </c>
      <c r="F25" s="205"/>
      <c r="G25" s="206"/>
      <c r="H25" s="107">
        <f>SUM(H5:H24)</f>
        <v>-42311.21738487298</v>
      </c>
    </row>
    <row r="26" spans="4:8" ht="29.1">
      <c r="D26" s="198" t="s">
        <v>79</v>
      </c>
      <c r="E26" s="38" t="s">
        <v>80</v>
      </c>
      <c r="F26" s="39" t="s">
        <v>205</v>
      </c>
      <c r="G26" s="40" t="s">
        <v>82</v>
      </c>
      <c r="H26" s="106">
        <f>'Other Fuel Impact Heating O (2)'!K48</f>
        <v>42442.305261721725</v>
      </c>
    </row>
    <row r="27" spans="4:8" ht="44.1" customHeight="1">
      <c r="D27" s="198"/>
      <c r="E27" s="39" t="s">
        <v>83</v>
      </c>
      <c r="F27" s="39" t="s">
        <v>84</v>
      </c>
      <c r="G27" s="40" t="s">
        <v>206</v>
      </c>
      <c r="H27" s="106">
        <f>-'GHG Impact Summary (2)'!P19</f>
        <v>-623.56135106560703</v>
      </c>
    </row>
    <row r="28" spans="4:8" ht="45" customHeight="1">
      <c r="D28" s="198"/>
      <c r="E28" s="39" t="s">
        <v>86</v>
      </c>
      <c r="F28" s="38" t="s">
        <v>87</v>
      </c>
      <c r="G28" s="40" t="s">
        <v>88</v>
      </c>
      <c r="H28" s="106">
        <f>'GHG Impact Summary (2)'!N19</f>
        <v>15768.568890791455</v>
      </c>
    </row>
    <row r="29" spans="4:8" ht="15.6">
      <c r="D29" s="108"/>
      <c r="E29" s="39"/>
      <c r="F29" s="38"/>
      <c r="G29" s="40"/>
      <c r="H29" s="106"/>
    </row>
    <row r="30" spans="4:8" ht="29.1">
      <c r="D30" s="207" t="s">
        <v>207</v>
      </c>
      <c r="E30" s="39" t="s">
        <v>208</v>
      </c>
      <c r="F30" s="38" t="s">
        <v>209</v>
      </c>
      <c r="G30" s="40" t="s">
        <v>210</v>
      </c>
      <c r="H30" s="106">
        <v>0</v>
      </c>
    </row>
    <row r="31" spans="4:8" ht="29.45" customHeight="1">
      <c r="D31" s="207"/>
      <c r="E31" s="39" t="s">
        <v>211</v>
      </c>
      <c r="F31" s="38" t="s">
        <v>212</v>
      </c>
      <c r="G31" s="40" t="s">
        <v>213</v>
      </c>
      <c r="H31" s="106">
        <f>'Levelized NEIs'!F22</f>
        <v>5597.6607975545758</v>
      </c>
    </row>
    <row r="32" spans="4:8">
      <c r="D32" s="53"/>
      <c r="E32" s="201" t="s">
        <v>214</v>
      </c>
      <c r="F32" s="202"/>
      <c r="G32" s="203"/>
      <c r="H32" s="107">
        <f>SUM(H26:H31)</f>
        <v>63184.973599002158</v>
      </c>
    </row>
    <row r="33" spans="4:8">
      <c r="D33" s="54"/>
      <c r="E33" s="204" t="s">
        <v>97</v>
      </c>
      <c r="F33" s="205"/>
      <c r="G33" s="206"/>
      <c r="H33" s="107">
        <f>H32+H25</f>
        <v>20873.756214129178</v>
      </c>
    </row>
    <row r="39" spans="4:8" ht="15.6">
      <c r="D39" s="52"/>
      <c r="E39" s="50" t="s">
        <v>36</v>
      </c>
      <c r="F39" s="50" t="s">
        <v>37</v>
      </c>
      <c r="G39" s="51" t="s">
        <v>39</v>
      </c>
    </row>
    <row r="40" spans="4:8" ht="29.1">
      <c r="D40" s="159" t="s">
        <v>42</v>
      </c>
      <c r="E40" s="160" t="s">
        <v>43</v>
      </c>
      <c r="F40" s="38" t="s">
        <v>44</v>
      </c>
      <c r="G40" s="106">
        <f>H5</f>
        <v>-6849.1224974673232</v>
      </c>
    </row>
    <row r="41" spans="4:8" ht="29.1">
      <c r="D41" s="159" t="s">
        <v>42</v>
      </c>
      <c r="E41" s="160" t="s">
        <v>43</v>
      </c>
      <c r="F41" s="38" t="s">
        <v>46</v>
      </c>
      <c r="G41" s="106">
        <f>H6</f>
        <v>-8703.4989436979977</v>
      </c>
    </row>
    <row r="42" spans="4:8" ht="29.1">
      <c r="D42" s="159" t="s">
        <v>42</v>
      </c>
      <c r="E42" s="156" t="s">
        <v>53</v>
      </c>
      <c r="F42" s="38" t="s">
        <v>54</v>
      </c>
      <c r="G42" s="106">
        <f>H11</f>
        <v>-1859.6901287165745</v>
      </c>
    </row>
    <row r="43" spans="4:8" ht="29.1">
      <c r="D43" s="159" t="s">
        <v>42</v>
      </c>
      <c r="E43" s="156" t="s">
        <v>58</v>
      </c>
      <c r="F43" s="38" t="s">
        <v>59</v>
      </c>
      <c r="G43" s="106">
        <f>H13</f>
        <v>-1859.6901287165745</v>
      </c>
    </row>
    <row r="44" spans="4:8" ht="29.1">
      <c r="D44" s="159" t="s">
        <v>42</v>
      </c>
      <c r="E44" s="160" t="s">
        <v>65</v>
      </c>
      <c r="F44" s="38" t="s">
        <v>66</v>
      </c>
      <c r="G44" s="106">
        <f>H17</f>
        <v>-19607.843137254902</v>
      </c>
    </row>
    <row r="45" spans="4:8" ht="29.1">
      <c r="D45" s="159" t="s">
        <v>42</v>
      </c>
      <c r="E45" s="160" t="s">
        <v>65</v>
      </c>
      <c r="F45" s="38" t="s">
        <v>70</v>
      </c>
      <c r="G45" s="106">
        <f>H19</f>
        <v>-3431.3725490196075</v>
      </c>
    </row>
    <row r="46" spans="4:8" ht="29.1">
      <c r="D46" s="161" t="s">
        <v>79</v>
      </c>
      <c r="E46" s="38" t="s">
        <v>80</v>
      </c>
      <c r="F46" s="39" t="s">
        <v>81</v>
      </c>
      <c r="G46" s="106">
        <f>H26</f>
        <v>42442.305261721725</v>
      </c>
    </row>
    <row r="47" spans="4:8" ht="46.5">
      <c r="D47" s="161" t="s">
        <v>79</v>
      </c>
      <c r="E47" s="39" t="s">
        <v>83</v>
      </c>
      <c r="F47" s="39" t="s">
        <v>84</v>
      </c>
      <c r="G47" s="106">
        <f>H27</f>
        <v>-623.56135106560703</v>
      </c>
    </row>
    <row r="48" spans="4:8" ht="30.95">
      <c r="D48" s="161" t="s">
        <v>79</v>
      </c>
      <c r="E48" s="39" t="s">
        <v>86</v>
      </c>
      <c r="F48" s="38" t="s">
        <v>87</v>
      </c>
      <c r="G48" s="106">
        <f>H28</f>
        <v>15768.568890791455</v>
      </c>
    </row>
    <row r="49" spans="4:7" ht="29.1">
      <c r="D49" s="158" t="s">
        <v>89</v>
      </c>
      <c r="E49" s="39" t="s">
        <v>90</v>
      </c>
      <c r="F49" s="38" t="s">
        <v>215</v>
      </c>
      <c r="G49" s="106">
        <f>H30</f>
        <v>0</v>
      </c>
    </row>
    <row r="50" spans="4:7" ht="29.1">
      <c r="D50" s="158" t="s">
        <v>89</v>
      </c>
      <c r="E50" s="39" t="s">
        <v>93</v>
      </c>
      <c r="F50" s="38" t="s">
        <v>94</v>
      </c>
      <c r="G50" s="106">
        <f>H31</f>
        <v>5597.6607975545758</v>
      </c>
    </row>
    <row r="51" spans="4:7">
      <c r="D51" s="54"/>
      <c r="E51" s="42"/>
      <c r="F51" s="44" t="s">
        <v>97</v>
      </c>
      <c r="G51" s="107">
        <f>SUM(G40:G50)</f>
        <v>20873.756214129171</v>
      </c>
    </row>
  </sheetData>
  <mergeCells count="12">
    <mergeCell ref="E32:G32"/>
    <mergeCell ref="E33:G33"/>
    <mergeCell ref="D2:H2"/>
    <mergeCell ref="D26:D28"/>
    <mergeCell ref="D30:D31"/>
    <mergeCell ref="D5:D24"/>
    <mergeCell ref="E5:E10"/>
    <mergeCell ref="E11:E12"/>
    <mergeCell ref="E13:E16"/>
    <mergeCell ref="E17:E24"/>
    <mergeCell ref="E25:G25"/>
    <mergeCell ref="D3:H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85F74-F1ED-4147-9437-69777C5C3298}">
  <sheetPr>
    <tabColor theme="3" tint="0.749992370372631"/>
  </sheetPr>
  <dimension ref="C1:O43"/>
  <sheetViews>
    <sheetView topLeftCell="A11" workbookViewId="0">
      <selection activeCell="F40" sqref="F40"/>
    </sheetView>
  </sheetViews>
  <sheetFormatPr defaultRowHeight="14.45"/>
  <cols>
    <col min="3" max="3" width="36.42578125" customWidth="1"/>
    <col min="4" max="4" width="10.42578125" bestFit="1" customWidth="1"/>
    <col min="6" max="6" width="12.5703125" bestFit="1" customWidth="1"/>
    <col min="7" max="7" width="32.5703125" style="35" customWidth="1"/>
    <col min="8" max="8" width="23.42578125" customWidth="1"/>
  </cols>
  <sheetData>
    <row r="1" spans="3:11">
      <c r="C1" s="56" t="s">
        <v>216</v>
      </c>
    </row>
    <row r="3" spans="3:11">
      <c r="C3" s="14" t="s">
        <v>217</v>
      </c>
      <c r="D3">
        <v>80</v>
      </c>
      <c r="E3" t="s">
        <v>218</v>
      </c>
      <c r="F3" s="3">
        <f>D3*I13</f>
        <v>84.469600000000014</v>
      </c>
      <c r="G3" s="35" t="s">
        <v>219</v>
      </c>
      <c r="H3">
        <f>44.52/I13</f>
        <v>42.164281587695456</v>
      </c>
    </row>
    <row r="4" spans="3:11">
      <c r="C4" s="14" t="s">
        <v>220</v>
      </c>
      <c r="D4">
        <v>0.84</v>
      </c>
    </row>
    <row r="5" spans="3:11">
      <c r="C5" s="14" t="s">
        <v>221</v>
      </c>
      <c r="D5" s="3">
        <f>(D3*10^6)/138500</f>
        <v>577.61732851985562</v>
      </c>
      <c r="E5" t="s">
        <v>222</v>
      </c>
      <c r="F5">
        <f>D5*I12</f>
        <v>2186.5194397111914</v>
      </c>
      <c r="G5" s="35" t="s">
        <v>223</v>
      </c>
    </row>
    <row r="6" spans="3:11">
      <c r="C6" s="14" t="s">
        <v>224</v>
      </c>
      <c r="D6">
        <v>22.54</v>
      </c>
      <c r="E6" t="s">
        <v>225</v>
      </c>
      <c r="F6" t="s">
        <v>226</v>
      </c>
    </row>
    <row r="7" spans="3:11">
      <c r="C7" s="14" t="s">
        <v>227</v>
      </c>
      <c r="D7" s="2">
        <f>(D5*D6)/2204</f>
        <v>5.9072116991095935</v>
      </c>
      <c r="E7" t="s">
        <v>228</v>
      </c>
    </row>
    <row r="8" spans="3:11">
      <c r="C8" s="14"/>
      <c r="D8" s="2"/>
    </row>
    <row r="9" spans="3:11">
      <c r="C9" s="14" t="s">
        <v>229</v>
      </c>
      <c r="D9" s="3">
        <f>D3</f>
        <v>80</v>
      </c>
      <c r="E9" t="s">
        <v>218</v>
      </c>
    </row>
    <row r="10" spans="3:11">
      <c r="C10" s="14" t="s">
        <v>230</v>
      </c>
      <c r="D10" s="3">
        <f>D3</f>
        <v>80</v>
      </c>
      <c r="E10" t="s">
        <v>218</v>
      </c>
    </row>
    <row r="11" spans="3:11">
      <c r="C11" s="14" t="s">
        <v>231</v>
      </c>
      <c r="D11" s="3">
        <f>D3</f>
        <v>80</v>
      </c>
      <c r="E11" t="s">
        <v>218</v>
      </c>
    </row>
    <row r="12" spans="3:11">
      <c r="C12" s="14" t="s">
        <v>232</v>
      </c>
      <c r="D12" s="3">
        <f>D3</f>
        <v>80</v>
      </c>
      <c r="E12" t="s">
        <v>218</v>
      </c>
      <c r="I12">
        <v>3.78541178</v>
      </c>
      <c r="J12" t="s">
        <v>233</v>
      </c>
    </row>
    <row r="13" spans="3:11">
      <c r="C13" s="14"/>
      <c r="D13" s="2"/>
      <c r="I13">
        <v>1.0558700000000001</v>
      </c>
      <c r="J13" t="s">
        <v>234</v>
      </c>
    </row>
    <row r="14" spans="3:11" ht="29.1">
      <c r="C14" s="14" t="s">
        <v>235</v>
      </c>
      <c r="D14" s="2">
        <f>D9*1.05587</f>
        <v>84.469600000000014</v>
      </c>
      <c r="E14" t="s">
        <v>219</v>
      </c>
      <c r="F14" t="s">
        <v>236</v>
      </c>
      <c r="G14" s="36" t="s">
        <v>237</v>
      </c>
      <c r="J14" t="s">
        <v>238</v>
      </c>
    </row>
    <row r="15" spans="3:11" ht="43.5">
      <c r="C15" s="14" t="s">
        <v>230</v>
      </c>
      <c r="D15" s="55">
        <f>D10/0.091452</f>
        <v>874.77583869133525</v>
      </c>
      <c r="E15" t="s">
        <v>239</v>
      </c>
      <c r="F15" t="s">
        <v>240</v>
      </c>
      <c r="G15" s="35" t="s">
        <v>241</v>
      </c>
      <c r="H15" s="36" t="s">
        <v>242</v>
      </c>
      <c r="J15">
        <v>1</v>
      </c>
      <c r="K15" t="s">
        <v>219</v>
      </c>
    </row>
    <row r="16" spans="3:11">
      <c r="C16" s="14" t="s">
        <v>230</v>
      </c>
      <c r="D16" s="2">
        <f>D15*3.7854</f>
        <v>3311.3764597821805</v>
      </c>
      <c r="E16" t="s">
        <v>243</v>
      </c>
      <c r="F16" t="s">
        <v>244</v>
      </c>
      <c r="G16" s="36"/>
      <c r="J16">
        <v>947.87099999999998</v>
      </c>
      <c r="K16" t="s">
        <v>245</v>
      </c>
    </row>
    <row r="17" spans="3:15" ht="43.5">
      <c r="C17" s="14" t="s">
        <v>231</v>
      </c>
      <c r="D17" s="4">
        <f>(D11*1000000)/3412</f>
        <v>23446.658851113716</v>
      </c>
      <c r="E17" t="s">
        <v>246</v>
      </c>
      <c r="F17" t="s">
        <v>247</v>
      </c>
      <c r="G17" s="36" t="s">
        <v>248</v>
      </c>
      <c r="J17">
        <f>D14*J16</f>
        <v>80066.284221600014</v>
      </c>
    </row>
    <row r="18" spans="3:15">
      <c r="C18" s="14" t="s">
        <v>232</v>
      </c>
      <c r="D18" s="2">
        <f>D12</f>
        <v>80</v>
      </c>
      <c r="E18" t="s">
        <v>218</v>
      </c>
    </row>
    <row r="19" spans="3:15">
      <c r="C19" s="14"/>
      <c r="D19" s="2"/>
    </row>
    <row r="20" spans="3:15">
      <c r="C20" s="14" t="s">
        <v>249</v>
      </c>
      <c r="D20" s="2">
        <f>'Other Fuels References'!B14</f>
        <v>50.12376999716745</v>
      </c>
    </row>
    <row r="21" spans="3:15">
      <c r="C21" s="14" t="s">
        <v>250</v>
      </c>
      <c r="D21" s="3">
        <f>D14*D20</f>
        <v>4233.9348021527367</v>
      </c>
      <c r="E21" t="s">
        <v>251</v>
      </c>
    </row>
    <row r="22" spans="3:15">
      <c r="C22" s="14" t="s">
        <v>250</v>
      </c>
      <c r="D22" s="2">
        <f>D21/1000</f>
        <v>4.2339348021527368</v>
      </c>
      <c r="E22" t="s">
        <v>228</v>
      </c>
    </row>
    <row r="23" spans="3:15">
      <c r="C23" s="14"/>
    </row>
    <row r="24" spans="3:15">
      <c r="C24" s="14" t="s">
        <v>252</v>
      </c>
      <c r="D24">
        <v>5.75</v>
      </c>
      <c r="E24" s="25" t="s">
        <v>226</v>
      </c>
    </row>
    <row r="25" spans="3:15">
      <c r="C25" s="14" t="s">
        <v>253</v>
      </c>
      <c r="D25" s="33">
        <f>'Other Fuels References'!B21</f>
        <v>21.763750000000002</v>
      </c>
      <c r="E25" t="s">
        <v>244</v>
      </c>
    </row>
    <row r="26" spans="3:15">
      <c r="C26" s="14" t="s">
        <v>254</v>
      </c>
      <c r="D26" s="33">
        <v>62.88</v>
      </c>
      <c r="E26" s="25" t="s">
        <v>226</v>
      </c>
    </row>
    <row r="27" spans="3:15">
      <c r="C27" s="14" t="s">
        <v>255</v>
      </c>
      <c r="D27" s="34">
        <f>D10*D26</f>
        <v>5030.4000000000005</v>
      </c>
      <c r="E27" t="s">
        <v>251</v>
      </c>
    </row>
    <row r="28" spans="3:15">
      <c r="C28" s="14" t="s">
        <v>255</v>
      </c>
      <c r="D28" s="33">
        <f>D27/1000</f>
        <v>5.0304000000000002</v>
      </c>
      <c r="E28" t="s">
        <v>228</v>
      </c>
    </row>
    <row r="29" spans="3:15">
      <c r="C29" s="14"/>
    </row>
    <row r="30" spans="3:15">
      <c r="C30" s="14" t="s">
        <v>256</v>
      </c>
      <c r="D30">
        <f>D3*D4</f>
        <v>67.2</v>
      </c>
      <c r="E30" t="s">
        <v>218</v>
      </c>
      <c r="F30" s="3">
        <f>D30*I13</f>
        <v>70.954464000000016</v>
      </c>
      <c r="G30" s="35" t="s">
        <v>219</v>
      </c>
      <c r="K30" s="133"/>
      <c r="M30" s="133"/>
      <c r="O30" s="133"/>
    </row>
    <row r="31" spans="3:15">
      <c r="C31" s="14" t="s">
        <v>257</v>
      </c>
      <c r="D31" s="4">
        <f>(D30*10^6)/3412</f>
        <v>19695.193434935522</v>
      </c>
      <c r="F31" s="4">
        <f>(F30*10^6)/3412</f>
        <v>20795.563892145372</v>
      </c>
      <c r="G31"/>
      <c r="K31" s="133"/>
      <c r="M31" s="133"/>
      <c r="O31" s="133"/>
    </row>
    <row r="32" spans="3:15">
      <c r="C32" s="14" t="s">
        <v>258</v>
      </c>
      <c r="D32">
        <v>2.5</v>
      </c>
      <c r="F32">
        <v>2.5</v>
      </c>
      <c r="G32"/>
      <c r="K32" s="133"/>
      <c r="M32" s="133"/>
      <c r="O32" s="133"/>
    </row>
    <row r="33" spans="3:15">
      <c r="C33" s="14" t="s">
        <v>259</v>
      </c>
      <c r="D33" s="5">
        <f>D31/D32</f>
        <v>7878.077373974209</v>
      </c>
      <c r="E33" t="s">
        <v>246</v>
      </c>
      <c r="F33" s="5">
        <f>F31/F32</f>
        <v>8318.2255568581495</v>
      </c>
      <c r="G33" t="s">
        <v>246</v>
      </c>
      <c r="O33" s="133"/>
    </row>
    <row r="34" spans="3:15" ht="13.35" customHeight="1">
      <c r="C34" s="14"/>
    </row>
    <row r="35" spans="3:15">
      <c r="C35" s="14"/>
    </row>
    <row r="36" spans="3:15">
      <c r="C36" s="14" t="s">
        <v>260</v>
      </c>
      <c r="D36">
        <v>1000</v>
      </c>
    </row>
    <row r="37" spans="3:15">
      <c r="C37" s="14" t="s">
        <v>261</v>
      </c>
      <c r="D37">
        <v>15</v>
      </c>
      <c r="E37" t="s">
        <v>140</v>
      </c>
    </row>
    <row r="38" spans="3:15">
      <c r="C38" s="14" t="s">
        <v>262</v>
      </c>
      <c r="D38">
        <v>8000</v>
      </c>
      <c r="E38" t="s">
        <v>263</v>
      </c>
    </row>
    <row r="39" spans="3:15">
      <c r="C39" s="14" t="s">
        <v>264</v>
      </c>
      <c r="D39" s="87">
        <v>0.4</v>
      </c>
    </row>
    <row r="40" spans="3:15">
      <c r="C40" s="14" t="s">
        <v>265</v>
      </c>
      <c r="D40">
        <f>D38*D39</f>
        <v>3200</v>
      </c>
      <c r="F40" s="4"/>
    </row>
    <row r="42" spans="3:15">
      <c r="C42" s="14" t="s">
        <v>266</v>
      </c>
      <c r="D42" s="87">
        <v>0.1</v>
      </c>
    </row>
    <row r="43" spans="3:15">
      <c r="C43" s="14" t="s">
        <v>267</v>
      </c>
      <c r="D43" s="11">
        <f>D38*D42</f>
        <v>800</v>
      </c>
    </row>
  </sheetData>
  <hyperlinks>
    <hyperlink ref="G14" r:id="rId1" xr:uid="{98A1F986-D896-4D40-882C-426D856C6D04}"/>
    <hyperlink ref="G17" r:id="rId2" xr:uid="{0980D3ED-C06A-4E9C-92CE-7BF1A89E908D}"/>
    <hyperlink ref="H15" r:id="rId3" xr:uid="{4632BB59-8998-4157-B97B-5587220B9E43}"/>
    <hyperlink ref="E24" r:id="rId4" xr:uid="{82189A3C-F562-4B37-ADE4-5E95E233B701}"/>
    <hyperlink ref="E26" r:id="rId5" xr:uid="{7D0C5D4B-3DCF-459B-A697-7450A669607B}"/>
  </hyperlinks>
  <pageMargins left="0.7" right="0.7" top="0.75" bottom="0.75" header="0.3" footer="0.3"/>
  <pageSetup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3775-AC4C-48BB-85CA-10A0365311D1}">
  <sheetPr>
    <tabColor theme="3" tint="0.749992370372631"/>
  </sheetPr>
  <dimension ref="C4:AD74"/>
  <sheetViews>
    <sheetView zoomScale="53" zoomScaleNormal="90" workbookViewId="0">
      <selection activeCell="AA21" sqref="AA21"/>
    </sheetView>
  </sheetViews>
  <sheetFormatPr defaultRowHeight="14.45"/>
  <cols>
    <col min="4" max="4" width="16.5703125" customWidth="1"/>
    <col min="5" max="5" width="10.42578125" bestFit="1" customWidth="1"/>
    <col min="6" max="6" width="10.140625" customWidth="1"/>
    <col min="7" max="7" width="12.5703125" customWidth="1"/>
    <col min="8" max="8" width="9" customWidth="1"/>
    <col min="9" max="9" width="10.140625" customWidth="1"/>
    <col min="10" max="10" width="6.5703125" customWidth="1"/>
    <col min="11" max="11" width="14.5703125" customWidth="1"/>
    <col min="12" max="12" width="8.5703125" customWidth="1"/>
    <col min="13" max="13" width="9.5703125" customWidth="1"/>
    <col min="15" max="15" width="9.5703125" customWidth="1"/>
    <col min="16" max="16" width="14.140625" customWidth="1"/>
    <col min="17" max="17" width="16.140625" customWidth="1"/>
    <col min="18" max="18" width="8.85546875" customWidth="1"/>
    <col min="19" max="19" width="8.42578125" customWidth="1"/>
    <col min="20" max="20" width="13.85546875" customWidth="1"/>
    <col min="21" max="21" width="13.42578125" customWidth="1"/>
    <col min="25" max="25" width="12.5703125" bestFit="1" customWidth="1"/>
    <col min="26" max="26" width="14.42578125" bestFit="1" customWidth="1"/>
    <col min="29" max="29" width="13.42578125" customWidth="1"/>
    <col min="30" max="30" width="16.42578125" customWidth="1"/>
  </cols>
  <sheetData>
    <row r="4" spans="4:9">
      <c r="D4" t="s">
        <v>268</v>
      </c>
      <c r="E4" s="10">
        <v>1.36</v>
      </c>
      <c r="F4" t="s">
        <v>269</v>
      </c>
    </row>
    <row r="5" spans="4:9">
      <c r="D5" t="s">
        <v>270</v>
      </c>
      <c r="E5" s="11">
        <v>3973</v>
      </c>
      <c r="F5" t="s">
        <v>271</v>
      </c>
      <c r="H5" s="25" t="s">
        <v>272</v>
      </c>
    </row>
    <row r="6" spans="4:9">
      <c r="E6" s="4">
        <f>E5/E4</f>
        <v>2921.3235294117644</v>
      </c>
      <c r="F6" t="s">
        <v>273</v>
      </c>
    </row>
    <row r="7" spans="4:9">
      <c r="E7" s="5">
        <f>E6/3.7854</f>
        <v>771.73443477882506</v>
      </c>
      <c r="F7" t="s">
        <v>274</v>
      </c>
    </row>
    <row r="9" spans="4:9">
      <c r="D9" t="s">
        <v>275</v>
      </c>
      <c r="E9" s="10">
        <v>1.65</v>
      </c>
      <c r="F9" t="s">
        <v>276</v>
      </c>
      <c r="G9" t="s">
        <v>277</v>
      </c>
    </row>
    <row r="10" spans="4:9">
      <c r="G10" t="s">
        <v>278</v>
      </c>
    </row>
    <row r="12" spans="4:9">
      <c r="D12" t="s">
        <v>279</v>
      </c>
      <c r="E12" s="16" t="s">
        <v>280</v>
      </c>
    </row>
    <row r="13" spans="4:9">
      <c r="E13" s="13">
        <v>2023</v>
      </c>
      <c r="F13" s="11">
        <v>65</v>
      </c>
      <c r="G13" t="s">
        <v>281</v>
      </c>
      <c r="I13" s="25" t="s">
        <v>282</v>
      </c>
    </row>
    <row r="14" spans="4:9">
      <c r="E14" s="13">
        <f>E13+1</f>
        <v>2024</v>
      </c>
      <c r="F14" s="12">
        <f t="shared" ref="F14:F20" si="0">F13+15</f>
        <v>80</v>
      </c>
    </row>
    <row r="15" spans="4:9">
      <c r="E15" s="13">
        <f t="shared" ref="E15:E20" si="1">E14+1</f>
        <v>2025</v>
      </c>
      <c r="F15" s="12">
        <f t="shared" si="0"/>
        <v>95</v>
      </c>
    </row>
    <row r="16" spans="4:9">
      <c r="E16" s="13">
        <f t="shared" si="1"/>
        <v>2026</v>
      </c>
      <c r="F16" s="12">
        <f t="shared" si="0"/>
        <v>110</v>
      </c>
    </row>
    <row r="17" spans="3:30">
      <c r="E17" s="13">
        <f t="shared" si="1"/>
        <v>2027</v>
      </c>
      <c r="F17" s="12">
        <f t="shared" si="0"/>
        <v>125</v>
      </c>
    </row>
    <row r="18" spans="3:30">
      <c r="E18" s="13">
        <f t="shared" si="1"/>
        <v>2028</v>
      </c>
      <c r="F18" s="12">
        <f t="shared" si="0"/>
        <v>140</v>
      </c>
    </row>
    <row r="19" spans="3:30">
      <c r="E19" s="13">
        <f t="shared" si="1"/>
        <v>2029</v>
      </c>
      <c r="F19" s="12">
        <f t="shared" si="0"/>
        <v>155</v>
      </c>
    </row>
    <row r="20" spans="3:30">
      <c r="E20" s="13">
        <f t="shared" si="1"/>
        <v>2030</v>
      </c>
      <c r="F20" s="12">
        <f t="shared" si="0"/>
        <v>170</v>
      </c>
    </row>
    <row r="22" spans="3:30">
      <c r="D22" t="s">
        <v>283</v>
      </c>
      <c r="E22">
        <v>10.19</v>
      </c>
      <c r="F22" t="s">
        <v>284</v>
      </c>
    </row>
    <row r="23" spans="3:30">
      <c r="E23" s="2">
        <f>E22/3.7854</f>
        <v>2.6919215934907803</v>
      </c>
      <c r="F23" t="s">
        <v>285</v>
      </c>
    </row>
    <row r="25" spans="3:30">
      <c r="D25" t="s">
        <v>286</v>
      </c>
      <c r="F25" s="20">
        <v>2E-3</v>
      </c>
      <c r="G25" t="s">
        <v>287</v>
      </c>
      <c r="AC25" t="s">
        <v>288</v>
      </c>
      <c r="AD25" t="s">
        <v>289</v>
      </c>
    </row>
    <row r="26" spans="3:30">
      <c r="AC26" s="6">
        <v>8000</v>
      </c>
      <c r="AD26" s="6">
        <v>2000</v>
      </c>
    </row>
    <row r="28" spans="3:30">
      <c r="C28" s="209" t="s">
        <v>290</v>
      </c>
      <c r="D28" s="209"/>
      <c r="E28" s="209"/>
      <c r="F28" s="209"/>
      <c r="G28" s="209"/>
      <c r="H28" s="209"/>
      <c r="I28" s="209"/>
      <c r="J28" s="209"/>
      <c r="K28" s="209"/>
      <c r="L28" s="164"/>
      <c r="M28" s="164"/>
      <c r="N28" s="210" t="s">
        <v>291</v>
      </c>
      <c r="O28" s="210"/>
      <c r="P28" s="210"/>
      <c r="Q28" s="210"/>
      <c r="R28" s="210"/>
      <c r="S28" s="210"/>
      <c r="T28" s="210"/>
      <c r="U28" s="37" t="s">
        <v>292</v>
      </c>
    </row>
    <row r="29" spans="3:30" ht="72.599999999999994">
      <c r="C29" s="15" t="s">
        <v>293</v>
      </c>
      <c r="D29" s="14" t="s">
        <v>294</v>
      </c>
      <c r="E29" s="16" t="s">
        <v>280</v>
      </c>
      <c r="F29" s="15" t="s">
        <v>295</v>
      </c>
      <c r="G29" s="15" t="s">
        <v>296</v>
      </c>
      <c r="H29" s="15" t="s">
        <v>297</v>
      </c>
      <c r="I29" s="15" t="s">
        <v>298</v>
      </c>
      <c r="J29" s="15" t="s">
        <v>299</v>
      </c>
      <c r="K29" s="15" t="s">
        <v>300</v>
      </c>
      <c r="L29" s="16" t="s">
        <v>280</v>
      </c>
      <c r="M29" s="15" t="s">
        <v>299</v>
      </c>
      <c r="N29" s="15" t="s">
        <v>301</v>
      </c>
      <c r="O29" s="15" t="s">
        <v>302</v>
      </c>
      <c r="P29" s="15" t="s">
        <v>303</v>
      </c>
      <c r="Q29" s="15" t="s">
        <v>304</v>
      </c>
      <c r="R29" s="15" t="s">
        <v>305</v>
      </c>
      <c r="S29" s="15" t="s">
        <v>306</v>
      </c>
      <c r="T29" s="15" t="s">
        <v>307</v>
      </c>
      <c r="U29" s="15" t="s">
        <v>308</v>
      </c>
      <c r="Y29" s="15" t="s">
        <v>309</v>
      </c>
      <c r="Z29" s="15" t="s">
        <v>306</v>
      </c>
      <c r="AC29" s="15" t="s">
        <v>310</v>
      </c>
      <c r="AD29" s="15" t="s">
        <v>311</v>
      </c>
    </row>
    <row r="30" spans="3:30">
      <c r="E30" s="13">
        <v>2023</v>
      </c>
      <c r="F30" s="10">
        <f t="shared" ref="F30:F37" si="2">F13/(1000/$E$23)</f>
        <v>0.17497490357690071</v>
      </c>
      <c r="G30" s="10">
        <v>1.65</v>
      </c>
      <c r="H30" s="19">
        <f>G30-F30</f>
        <v>1.4750250964230993</v>
      </c>
      <c r="K30" s="11"/>
      <c r="L30" s="13">
        <v>2023</v>
      </c>
    </row>
    <row r="31" spans="3:30">
      <c r="C31" s="24">
        <f t="shared" ref="C31:C47" si="3">(F31/F30)-1</f>
        <v>0.23076923076923062</v>
      </c>
      <c r="E31" s="13">
        <f>E30+1</f>
        <v>2024</v>
      </c>
      <c r="F31" s="10">
        <f>F14/(1000/$E$23)</f>
        <v>0.2153537274792624</v>
      </c>
      <c r="G31" s="19">
        <f t="shared" ref="G31:G47" si="4">G30+(G30*$F$25)+(F31-F30)</f>
        <v>1.6936788239023617</v>
      </c>
      <c r="H31" s="19">
        <f>G31-F31</f>
        <v>1.4783250964230992</v>
      </c>
      <c r="L31" s="13">
        <f>L30+1</f>
        <v>2024</v>
      </c>
    </row>
    <row r="32" spans="3:30">
      <c r="C32" s="24">
        <f t="shared" si="3"/>
        <v>0.1875</v>
      </c>
      <c r="E32" s="13">
        <f t="shared" ref="E32:E47" si="5">E31+1</f>
        <v>2025</v>
      </c>
      <c r="F32" s="10">
        <f>F15/(1000/$E$23)</f>
        <v>0.2557325513816241</v>
      </c>
      <c r="G32" s="19">
        <f t="shared" si="4"/>
        <v>1.7374450054525281</v>
      </c>
      <c r="H32" s="19">
        <f t="shared" ref="H32:H47" si="6">G32-F32</f>
        <v>1.4817124540709039</v>
      </c>
      <c r="L32" s="13">
        <f t="shared" ref="L32:L47" si="7">L31+1</f>
        <v>2025</v>
      </c>
    </row>
    <row r="33" spans="3:30">
      <c r="C33" s="24">
        <f t="shared" si="3"/>
        <v>0.15789473684210531</v>
      </c>
      <c r="D33">
        <v>1</v>
      </c>
      <c r="E33" s="13">
        <f t="shared" si="5"/>
        <v>2026</v>
      </c>
      <c r="F33" s="10">
        <f t="shared" si="2"/>
        <v>0.29611137528398579</v>
      </c>
      <c r="G33" s="19">
        <f t="shared" si="4"/>
        <v>1.7812987193657948</v>
      </c>
      <c r="H33" s="19">
        <f t="shared" si="6"/>
        <v>1.4851873440818091</v>
      </c>
      <c r="I33" s="4">
        <f>'GHG Impact Summary'!D4*3.7854</f>
        <v>2186512.6353790616</v>
      </c>
      <c r="J33" s="2">
        <f>1/(1+0.02)^D33</f>
        <v>0.98039215686274506</v>
      </c>
      <c r="K33" s="11">
        <f>H33*I33*J33</f>
        <v>3183706.7585685737</v>
      </c>
      <c r="L33" s="13">
        <f t="shared" si="7"/>
        <v>2026</v>
      </c>
      <c r="M33" s="2">
        <f>1/(1+0.02)^G33</f>
        <v>0.965340495652382</v>
      </c>
      <c r="N33" s="11">
        <v>74</v>
      </c>
      <c r="O33" s="4">
        <f>'GHG Impact Summary'!F4</f>
        <v>7878.077373974209</v>
      </c>
      <c r="P33" s="5">
        <f t="shared" ref="P33:P47" si="8">J33*N33*O33</f>
        <v>571546.78987656021</v>
      </c>
      <c r="Q33" s="5">
        <f>(18000/3412)*'Residential Heat Pump Measure'!$D$36</f>
        <v>5275.4982415005861</v>
      </c>
      <c r="R33" s="11">
        <v>67</v>
      </c>
      <c r="S33" s="11">
        <v>48</v>
      </c>
      <c r="T33" s="5">
        <f t="shared" ref="T33:T47" si="9">(J33*Q33*R33)+(J33*Q33*S33)</f>
        <v>594786.56644369347</v>
      </c>
      <c r="U33" s="12">
        <f t="shared" ref="U33:U47" si="10">K33-(P33+T33)</f>
        <v>2017373.4022483202</v>
      </c>
      <c r="Y33" s="11">
        <f t="shared" ref="Y33:Y47" si="11">J33*Q33*R33</f>
        <v>346527.82566719531</v>
      </c>
      <c r="Z33" s="11">
        <f t="shared" ref="Z33:Z47" si="12">S33*J33*Q33</f>
        <v>248258.74077649816</v>
      </c>
      <c r="AC33" s="6">
        <f>AC26*'Residential Heat Pump Measure'!D36*J33</f>
        <v>7843137.2549019605</v>
      </c>
      <c r="AD33" s="6">
        <f>'Residential Heat Pump Measure'!D36*AD26*J33</f>
        <v>1960784.3137254901</v>
      </c>
    </row>
    <row r="34" spans="3:30">
      <c r="C34" s="24">
        <f t="shared" si="3"/>
        <v>0.13636363636363646</v>
      </c>
      <c r="D34">
        <f>D33+1</f>
        <v>2</v>
      </c>
      <c r="E34" s="13">
        <f t="shared" si="5"/>
        <v>2027</v>
      </c>
      <c r="F34" s="10">
        <f t="shared" si="2"/>
        <v>0.33649019918634754</v>
      </c>
      <c r="G34" s="19">
        <f t="shared" si="4"/>
        <v>1.8252401407068881</v>
      </c>
      <c r="H34" s="19">
        <f t="shared" si="6"/>
        <v>1.4887499415205405</v>
      </c>
      <c r="I34" s="4">
        <f>'GHG Impact Summary'!D5*3.7854</f>
        <v>2186512.6353790616</v>
      </c>
      <c r="J34" s="2">
        <f t="shared" ref="J34:J47" si="13">1/(1+0.02)^D34</f>
        <v>0.96116878123798544</v>
      </c>
      <c r="K34" s="11">
        <f t="shared" ref="K34:K47" si="14">H34*I34*J34</f>
        <v>3128768.3180070175</v>
      </c>
      <c r="L34" s="13">
        <f t="shared" si="7"/>
        <v>2027</v>
      </c>
      <c r="M34" s="2">
        <f t="shared" ref="M34:M47" si="15">1/(1+0.02)^G34</f>
        <v>0.96450086458195683</v>
      </c>
      <c r="N34" s="11">
        <v>75</v>
      </c>
      <c r="O34" s="4">
        <f>'GHG Impact Summary'!F5</f>
        <v>7878.077373974209</v>
      </c>
      <c r="P34" s="5">
        <f t="shared" si="8"/>
        <v>567912.15210310044</v>
      </c>
      <c r="Q34" s="5">
        <f>(18000/3412)*'Residential Heat Pump Measure'!$D$36</f>
        <v>5275.4982415005861</v>
      </c>
      <c r="R34" s="11">
        <v>80</v>
      </c>
      <c r="S34" s="11">
        <v>49</v>
      </c>
      <c r="T34" s="5">
        <f t="shared" si="9"/>
        <v>654113.10376160673</v>
      </c>
      <c r="U34" s="12">
        <f t="shared" si="10"/>
        <v>1906743.0621423102</v>
      </c>
      <c r="Y34" s="11">
        <f t="shared" si="11"/>
        <v>405651.53721650026</v>
      </c>
      <c r="Z34" s="11">
        <f t="shared" si="12"/>
        <v>248461.56654510641</v>
      </c>
    </row>
    <row r="35" spans="3:30">
      <c r="C35" s="24">
        <f t="shared" si="3"/>
        <v>0.11999999999999988</v>
      </c>
      <c r="D35">
        <f t="shared" ref="D35:D47" si="16">D34+1</f>
        <v>3</v>
      </c>
      <c r="E35" s="13">
        <f t="shared" si="5"/>
        <v>2028</v>
      </c>
      <c r="F35" s="10">
        <f t="shared" si="2"/>
        <v>0.37686902308870923</v>
      </c>
      <c r="G35" s="19">
        <f t="shared" si="4"/>
        <v>1.8692694448906635</v>
      </c>
      <c r="H35" s="19">
        <f t="shared" si="6"/>
        <v>1.4924004218019542</v>
      </c>
      <c r="I35" s="4">
        <f>'GHG Impact Summary'!D6*3.7854</f>
        <v>2186512.6353790616</v>
      </c>
      <c r="J35" s="2">
        <f t="shared" si="13"/>
        <v>0.94232233454704462</v>
      </c>
      <c r="K35" s="11">
        <f t="shared" si="14"/>
        <v>3074941.3680588673</v>
      </c>
      <c r="L35" s="13">
        <f t="shared" si="7"/>
        <v>2028</v>
      </c>
      <c r="M35" s="2">
        <f t="shared" si="15"/>
        <v>0.96366028673319171</v>
      </c>
      <c r="N35" s="11">
        <v>77</v>
      </c>
      <c r="O35" s="4">
        <f>'GHG Impact Summary'!F6</f>
        <v>7878.077373974209</v>
      </c>
      <c r="P35" s="5">
        <f t="shared" si="8"/>
        <v>571623.99623449333</v>
      </c>
      <c r="Q35" s="5">
        <f>(18000/3412)*'Residential Heat Pump Measure'!$D$36</f>
        <v>5275.4982415005861</v>
      </c>
      <c r="R35" s="11">
        <v>91</v>
      </c>
      <c r="S35" s="11">
        <v>50</v>
      </c>
      <c r="T35" s="5">
        <f t="shared" si="9"/>
        <v>700941.99445498211</v>
      </c>
      <c r="U35" s="12">
        <f t="shared" si="10"/>
        <v>1802375.3773693917</v>
      </c>
      <c r="Y35" s="11">
        <f t="shared" si="11"/>
        <v>452381.0035134991</v>
      </c>
      <c r="Z35" s="11">
        <f t="shared" si="12"/>
        <v>248560.99094148303</v>
      </c>
    </row>
    <row r="36" spans="3:30">
      <c r="C36" s="24">
        <f t="shared" si="3"/>
        <v>0.10714285714285721</v>
      </c>
      <c r="D36">
        <f t="shared" si="16"/>
        <v>4</v>
      </c>
      <c r="E36" s="13">
        <f t="shared" si="5"/>
        <v>2029</v>
      </c>
      <c r="F36" s="10">
        <f t="shared" si="2"/>
        <v>0.41724784699107093</v>
      </c>
      <c r="G36" s="19">
        <f t="shared" si="4"/>
        <v>1.9133868076828064</v>
      </c>
      <c r="H36" s="19">
        <f t="shared" si="6"/>
        <v>1.4961389606917355</v>
      </c>
      <c r="I36" s="4">
        <f>'GHG Impact Summary'!D7*3.7854</f>
        <v>2186512.6353790616</v>
      </c>
      <c r="J36" s="2">
        <f t="shared" si="13"/>
        <v>0.9238454260265142</v>
      </c>
      <c r="K36" s="11">
        <f t="shared" si="14"/>
        <v>3022200.2474828321</v>
      </c>
      <c r="L36" s="13">
        <f t="shared" si="7"/>
        <v>2029</v>
      </c>
      <c r="M36" s="2">
        <f t="shared" si="15"/>
        <v>0.96281876250446685</v>
      </c>
      <c r="N36" s="11">
        <v>78</v>
      </c>
      <c r="O36" s="4">
        <f>'GHG Impact Summary'!F7</f>
        <v>7878.077373974209</v>
      </c>
      <c r="P36" s="5">
        <f t="shared" si="8"/>
        <v>567693.80833066558</v>
      </c>
      <c r="Q36" s="5">
        <f>(18000/3412)*'Residential Heat Pump Measure'!$D$36</f>
        <v>5275.4982415005861</v>
      </c>
      <c r="R36" s="11">
        <v>102</v>
      </c>
      <c r="S36" s="11">
        <v>51</v>
      </c>
      <c r="T36" s="5">
        <f t="shared" si="9"/>
        <v>745682.97282444895</v>
      </c>
      <c r="U36" s="12">
        <f t="shared" si="10"/>
        <v>1708823.4663277175</v>
      </c>
      <c r="Y36" s="11">
        <f t="shared" si="11"/>
        <v>497121.98188296601</v>
      </c>
      <c r="Z36" s="11">
        <f t="shared" si="12"/>
        <v>248560.990941483</v>
      </c>
    </row>
    <row r="37" spans="3:30">
      <c r="C37" s="24">
        <f t="shared" si="3"/>
        <v>9.6774193548387011E-2</v>
      </c>
      <c r="D37">
        <f t="shared" si="16"/>
        <v>5</v>
      </c>
      <c r="E37" s="13">
        <f t="shared" si="5"/>
        <v>2030</v>
      </c>
      <c r="F37" s="10">
        <f t="shared" si="2"/>
        <v>0.45762667089343262</v>
      </c>
      <c r="G37" s="19">
        <f t="shared" si="4"/>
        <v>1.9575924052005338</v>
      </c>
      <c r="H37" s="19">
        <f t="shared" si="6"/>
        <v>1.4999657343071011</v>
      </c>
      <c r="I37" s="4">
        <f>'GHG Impact Summary'!D8*3.7854</f>
        <v>2186512.6353790616</v>
      </c>
      <c r="J37" s="2">
        <f t="shared" si="13"/>
        <v>0.90573080982991594</v>
      </c>
      <c r="K37" s="11">
        <f t="shared" si="14"/>
        <v>2970519.9304185393</v>
      </c>
      <c r="L37" s="13">
        <f t="shared" si="7"/>
        <v>2030</v>
      </c>
      <c r="M37" s="2">
        <f t="shared" si="15"/>
        <v>0.9619762923008458</v>
      </c>
      <c r="N37" s="11">
        <v>80</v>
      </c>
      <c r="O37" s="4">
        <f>'GHG Impact Summary'!F8</f>
        <v>7878.077373974209</v>
      </c>
      <c r="P37" s="5">
        <f t="shared" si="8"/>
        <v>570833.39198659186</v>
      </c>
      <c r="Q37" s="5">
        <f>(18000/3412)*'Residential Heat Pump Measure'!$D$36</f>
        <v>5275.4982415005861</v>
      </c>
      <c r="R37" s="11">
        <v>112</v>
      </c>
      <c r="S37" s="11">
        <v>52</v>
      </c>
      <c r="T37" s="5">
        <f t="shared" si="9"/>
        <v>783621.73230302229</v>
      </c>
      <c r="U37" s="12">
        <f t="shared" si="10"/>
        <v>1616064.8061289252</v>
      </c>
      <c r="Y37" s="11">
        <f t="shared" si="11"/>
        <v>535156.30498742987</v>
      </c>
      <c r="Z37" s="11">
        <f t="shared" si="12"/>
        <v>248465.42731559242</v>
      </c>
    </row>
    <row r="38" spans="3:30">
      <c r="C38" s="24">
        <f t="shared" si="3"/>
        <v>2.0000000000000018E-2</v>
      </c>
      <c r="D38">
        <f t="shared" si="16"/>
        <v>6</v>
      </c>
      <c r="E38" s="13">
        <f t="shared" si="5"/>
        <v>2031</v>
      </c>
      <c r="F38" s="19">
        <f>F37*1.02</f>
        <v>0.46677920431130127</v>
      </c>
      <c r="G38" s="19">
        <f t="shared" si="4"/>
        <v>1.9706601234288035</v>
      </c>
      <c r="H38" s="19">
        <f t="shared" si="6"/>
        <v>1.5038809191175022</v>
      </c>
      <c r="I38" s="4">
        <f>'GHG Impact Summary'!D9*3.7854</f>
        <v>2186512.6353790616</v>
      </c>
      <c r="J38" s="2">
        <f t="shared" si="13"/>
        <v>0.88797138218619198</v>
      </c>
      <c r="K38" s="11">
        <f t="shared" si="14"/>
        <v>2919876.0103404298</v>
      </c>
      <c r="L38" s="13">
        <f t="shared" si="7"/>
        <v>2031</v>
      </c>
      <c r="M38" s="2">
        <f t="shared" si="15"/>
        <v>0.96172738894435472</v>
      </c>
      <c r="N38" s="11">
        <v>82</v>
      </c>
      <c r="O38" s="4">
        <f>'GHG Impact Summary'!F9</f>
        <v>7878.077373974209</v>
      </c>
      <c r="P38" s="5">
        <f t="shared" si="8"/>
        <v>573631.59488848678</v>
      </c>
      <c r="Q38" s="5">
        <f>(18000/3412)*'Residential Heat Pump Measure'!$D$36</f>
        <v>5275.4982415005861</v>
      </c>
      <c r="R38" s="11">
        <v>122</v>
      </c>
      <c r="S38" s="11">
        <v>53</v>
      </c>
      <c r="T38" s="5">
        <f t="shared" si="9"/>
        <v>819786.00641456759</v>
      </c>
      <c r="U38" s="12">
        <f t="shared" si="10"/>
        <v>1526458.4090373754</v>
      </c>
      <c r="Y38" s="11">
        <f t="shared" si="11"/>
        <v>571507.95875758422</v>
      </c>
      <c r="Z38" s="11">
        <f t="shared" si="12"/>
        <v>248278.04765698331</v>
      </c>
    </row>
    <row r="39" spans="3:30">
      <c r="C39" s="24">
        <f t="shared" si="3"/>
        <v>2.0000000000000018E-2</v>
      </c>
      <c r="D39">
        <f t="shared" si="16"/>
        <v>7</v>
      </c>
      <c r="E39" s="13">
        <f t="shared" si="5"/>
        <v>2032</v>
      </c>
      <c r="F39" s="19">
        <f t="shared" ref="F39:F47" si="17">F38*1.02</f>
        <v>0.4761147883975273</v>
      </c>
      <c r="G39" s="19">
        <f t="shared" si="4"/>
        <v>1.9839370277618871</v>
      </c>
      <c r="H39" s="19">
        <f t="shared" si="6"/>
        <v>1.5078222393643599</v>
      </c>
      <c r="I39" s="4">
        <f>'GHG Impact Summary'!D10*3.7854</f>
        <v>2186512.6353790616</v>
      </c>
      <c r="J39" s="2">
        <f t="shared" si="13"/>
        <v>0.87056017861391388</v>
      </c>
      <c r="K39" s="11">
        <f t="shared" si="14"/>
        <v>2870125.8064989937</v>
      </c>
      <c r="L39" s="13">
        <f t="shared" si="7"/>
        <v>2032</v>
      </c>
      <c r="M39" s="2">
        <f t="shared" si="15"/>
        <v>0.96147456713589718</v>
      </c>
      <c r="N39" s="11">
        <v>83</v>
      </c>
      <c r="O39" s="4">
        <f>'GHG Impact Summary'!F10</f>
        <v>7878.077373974209</v>
      </c>
      <c r="P39" s="5">
        <f t="shared" si="8"/>
        <v>569242.25700316136</v>
      </c>
      <c r="Q39" s="5">
        <f>(18000/3412)*'Residential Heat Pump Measure'!$D$36</f>
        <v>5275.4982415005861</v>
      </c>
      <c r="R39" s="11">
        <v>130</v>
      </c>
      <c r="S39" s="11">
        <v>54</v>
      </c>
      <c r="T39" s="5">
        <f t="shared" si="9"/>
        <v>845045.5192172575</v>
      </c>
      <c r="U39" s="12">
        <f t="shared" si="10"/>
        <v>1455838.0302785747</v>
      </c>
      <c r="Y39" s="11">
        <f t="shared" si="11"/>
        <v>597043.02988175803</v>
      </c>
      <c r="Z39" s="11">
        <f t="shared" si="12"/>
        <v>248002.4893354995</v>
      </c>
    </row>
    <row r="40" spans="3:30">
      <c r="C40" s="24">
        <f t="shared" si="3"/>
        <v>2.0000000000000018E-2</v>
      </c>
      <c r="D40">
        <f t="shared" si="16"/>
        <v>8</v>
      </c>
      <c r="E40" s="13">
        <f t="shared" si="5"/>
        <v>2033</v>
      </c>
      <c r="F40" s="19">
        <f t="shared" si="17"/>
        <v>0.48563708416547785</v>
      </c>
      <c r="G40" s="19">
        <f t="shared" si="4"/>
        <v>1.9974271975853615</v>
      </c>
      <c r="H40" s="19">
        <f t="shared" si="6"/>
        <v>1.5117901134198837</v>
      </c>
      <c r="I40" s="4">
        <f>'GHG Impact Summary'!D11*3.7854</f>
        <v>2186512.6353790616</v>
      </c>
      <c r="J40" s="2">
        <f t="shared" si="13"/>
        <v>0.85349037119011162</v>
      </c>
      <c r="K40" s="11">
        <f t="shared" si="14"/>
        <v>2821253.5474312296</v>
      </c>
      <c r="L40" s="13">
        <f t="shared" si="7"/>
        <v>2033</v>
      </c>
      <c r="M40" s="2">
        <f t="shared" si="15"/>
        <v>0.96121775235025742</v>
      </c>
      <c r="N40" s="11">
        <v>85</v>
      </c>
      <c r="O40" s="4">
        <f>'GHG Impact Summary'!F11</f>
        <v>7878.077373974209</v>
      </c>
      <c r="P40" s="5">
        <f t="shared" si="8"/>
        <v>571528.37048510183</v>
      </c>
      <c r="Q40" s="5">
        <f>(18000/3412)*'Residential Heat Pump Measure'!$D$36</f>
        <v>5275.4982415005861</v>
      </c>
      <c r="R40" s="11">
        <v>138</v>
      </c>
      <c r="S40" s="11">
        <v>55</v>
      </c>
      <c r="T40" s="5">
        <f t="shared" si="9"/>
        <v>868999.28180376545</v>
      </c>
      <c r="U40" s="12">
        <f t="shared" si="10"/>
        <v>1380725.8951423625</v>
      </c>
      <c r="Y40" s="11">
        <f t="shared" si="11"/>
        <v>621356.99942445406</v>
      </c>
      <c r="Z40" s="11">
        <f t="shared" si="12"/>
        <v>247642.28237931139</v>
      </c>
    </row>
    <row r="41" spans="3:30">
      <c r="C41" s="24">
        <f t="shared" si="3"/>
        <v>2.0000000000000018E-2</v>
      </c>
      <c r="D41">
        <f t="shared" si="16"/>
        <v>9</v>
      </c>
      <c r="E41" s="13">
        <f t="shared" si="5"/>
        <v>2034</v>
      </c>
      <c r="F41" s="19">
        <f t="shared" si="17"/>
        <v>0.4953498258487874</v>
      </c>
      <c r="G41" s="19">
        <f t="shared" si="4"/>
        <v>2.0111347936638415</v>
      </c>
      <c r="H41" s="19">
        <f t="shared" si="6"/>
        <v>1.5157849678150541</v>
      </c>
      <c r="I41" s="4">
        <f>'GHG Impact Summary'!D12*3.7854</f>
        <v>2186512.6353790616</v>
      </c>
      <c r="J41" s="2">
        <f t="shared" si="13"/>
        <v>0.83675526587265847</v>
      </c>
      <c r="K41" s="11">
        <f t="shared" si="14"/>
        <v>2773243.7399940728</v>
      </c>
      <c r="L41" s="13">
        <f t="shared" si="7"/>
        <v>2034</v>
      </c>
      <c r="M41" s="2">
        <f t="shared" si="15"/>
        <v>0.96095686864570329</v>
      </c>
      <c r="N41" s="11">
        <v>87</v>
      </c>
      <c r="O41" s="4">
        <f>'GHG Impact Summary'!F12</f>
        <v>7878.077373974209</v>
      </c>
      <c r="P41" s="5">
        <f t="shared" si="8"/>
        <v>573505.97730338934</v>
      </c>
      <c r="Q41" s="5">
        <f>(18000/3412)*'Residential Heat Pump Measure'!$D$36</f>
        <v>5275.4982415005861</v>
      </c>
      <c r="R41" s="11">
        <v>145</v>
      </c>
      <c r="S41" s="11">
        <v>56</v>
      </c>
      <c r="T41" s="5">
        <f t="shared" si="9"/>
        <v>887274.48766919062</v>
      </c>
      <c r="U41" s="12">
        <f t="shared" si="10"/>
        <v>1312463.275021493</v>
      </c>
      <c r="Y41" s="11">
        <f t="shared" si="11"/>
        <v>640073.63538324693</v>
      </c>
      <c r="Z41" s="11">
        <f t="shared" si="12"/>
        <v>247200.85228594366</v>
      </c>
    </row>
    <row r="42" spans="3:30">
      <c r="C42" s="24">
        <f t="shared" si="3"/>
        <v>2.0000000000000018E-2</v>
      </c>
      <c r="D42">
        <f t="shared" si="16"/>
        <v>10</v>
      </c>
      <c r="E42" s="13">
        <f t="shared" si="5"/>
        <v>2035</v>
      </c>
      <c r="F42" s="19">
        <f t="shared" si="17"/>
        <v>0.50525682236576319</v>
      </c>
      <c r="G42" s="19">
        <f t="shared" si="4"/>
        <v>2.0250640597681446</v>
      </c>
      <c r="H42" s="19">
        <f t="shared" si="6"/>
        <v>1.5198072374023814</v>
      </c>
      <c r="I42" s="4">
        <f>'GHG Impact Summary'!D13*3.7854</f>
        <v>2186512.6353790616</v>
      </c>
      <c r="J42" s="2">
        <f t="shared" si="13"/>
        <v>0.82034829987515534</v>
      </c>
      <c r="K42" s="11">
        <f t="shared" si="14"/>
        <v>2726081.1644528653</v>
      </c>
      <c r="L42" s="13">
        <f t="shared" si="7"/>
        <v>2035</v>
      </c>
      <c r="M42" s="2">
        <f t="shared" si="15"/>
        <v>0.96069183863835272</v>
      </c>
      <c r="N42" s="11">
        <v>88</v>
      </c>
      <c r="O42" s="4">
        <f>'GHG Impact Summary'!F13</f>
        <v>7878.077373974209</v>
      </c>
      <c r="P42" s="5">
        <f t="shared" si="8"/>
        <v>568723.52944217098</v>
      </c>
      <c r="Q42" s="5">
        <f>(18000/3412)*'Residential Heat Pump Measure'!$D$36</f>
        <v>5275.4982415005861</v>
      </c>
      <c r="R42" s="11">
        <v>152</v>
      </c>
      <c r="S42" s="11">
        <v>57</v>
      </c>
      <c r="T42" s="5">
        <f t="shared" si="9"/>
        <v>904498.91680255975</v>
      </c>
      <c r="U42" s="12">
        <f t="shared" si="10"/>
        <v>1252858.7182081346</v>
      </c>
      <c r="Y42" s="11">
        <f t="shared" si="11"/>
        <v>657817.39403822529</v>
      </c>
      <c r="Z42" s="11">
        <f t="shared" si="12"/>
        <v>246681.52276433451</v>
      </c>
    </row>
    <row r="43" spans="3:30">
      <c r="C43" s="24">
        <f t="shared" si="3"/>
        <v>2.0000000000000018E-2</v>
      </c>
      <c r="D43">
        <f t="shared" si="16"/>
        <v>11</v>
      </c>
      <c r="E43" s="13">
        <f t="shared" si="5"/>
        <v>2036</v>
      </c>
      <c r="F43" s="19">
        <f t="shared" si="17"/>
        <v>0.51536195881307845</v>
      </c>
      <c r="G43" s="19">
        <f t="shared" si="4"/>
        <v>2.0392193243349963</v>
      </c>
      <c r="H43" s="19">
        <f t="shared" si="6"/>
        <v>1.5238573655219179</v>
      </c>
      <c r="I43" s="4">
        <f>'GHG Impact Summary'!D14*3.7854</f>
        <v>2186512.6353790616</v>
      </c>
      <c r="J43" s="2">
        <f t="shared" si="13"/>
        <v>0.80426303909328967</v>
      </c>
      <c r="K43" s="11">
        <f t="shared" si="14"/>
        <v>2679750.8696565037</v>
      </c>
      <c r="L43" s="13">
        <f t="shared" si="7"/>
        <v>2036</v>
      </c>
      <c r="M43" s="2">
        <f t="shared" si="15"/>
        <v>0.96042258347613207</v>
      </c>
      <c r="N43" s="11">
        <v>90</v>
      </c>
      <c r="O43" s="4">
        <f>'GHG Impact Summary'!F14</f>
        <v>7878.077373974209</v>
      </c>
      <c r="P43" s="5">
        <f t="shared" si="8"/>
        <v>570244.18059041211</v>
      </c>
      <c r="Q43" s="5">
        <f>(18000/3412)*'Residential Heat Pump Measure'!$D$36</f>
        <v>5275.4982415005861</v>
      </c>
      <c r="R43" s="11">
        <v>157</v>
      </c>
      <c r="S43" s="11">
        <v>58</v>
      </c>
      <c r="T43" s="5">
        <f t="shared" si="9"/>
        <v>912220.9734147219</v>
      </c>
      <c r="U43" s="12">
        <f t="shared" si="10"/>
        <v>1197285.7156513697</v>
      </c>
      <c r="Y43" s="11">
        <f t="shared" si="11"/>
        <v>666133.45500516903</v>
      </c>
      <c r="Z43" s="11">
        <f t="shared" si="12"/>
        <v>246087.5184095529</v>
      </c>
    </row>
    <row r="44" spans="3:30">
      <c r="C44" s="24">
        <f t="shared" si="3"/>
        <v>2.0000000000000018E-2</v>
      </c>
      <c r="D44">
        <f t="shared" si="16"/>
        <v>12</v>
      </c>
      <c r="E44" s="13">
        <f t="shared" si="5"/>
        <v>2037</v>
      </c>
      <c r="F44" s="19">
        <f t="shared" si="17"/>
        <v>0.52566919798933998</v>
      </c>
      <c r="G44" s="19">
        <f t="shared" si="4"/>
        <v>2.0536050021599279</v>
      </c>
      <c r="H44" s="19">
        <f t="shared" si="6"/>
        <v>1.5279358041705879</v>
      </c>
      <c r="I44" s="4">
        <f>'GHG Impact Summary'!D15*3.7854</f>
        <v>2186512.6353790616</v>
      </c>
      <c r="J44" s="2">
        <f t="shared" si="13"/>
        <v>0.78849317558165644</v>
      </c>
      <c r="K44" s="11">
        <f t="shared" si="14"/>
        <v>2634238.1682977248</v>
      </c>
      <c r="L44" s="13">
        <f t="shared" si="7"/>
        <v>2037</v>
      </c>
      <c r="M44" s="2">
        <f t="shared" si="15"/>
        <v>0.96014902281232017</v>
      </c>
      <c r="N44" s="11">
        <v>92</v>
      </c>
      <c r="O44" s="4">
        <f>'GHG Impact Summary'!F15</f>
        <v>7878.077373974209</v>
      </c>
      <c r="P44" s="5">
        <f t="shared" si="8"/>
        <v>571486.54263962875</v>
      </c>
      <c r="Q44" s="5">
        <f>(18000/3412)*'Residential Heat Pump Measure'!$D$36</f>
        <v>5275.4982415005861</v>
      </c>
      <c r="R44" s="11">
        <v>162</v>
      </c>
      <c r="S44" s="11">
        <v>60</v>
      </c>
      <c r="T44" s="5">
        <f t="shared" si="9"/>
        <v>923452.14819000557</v>
      </c>
      <c r="U44" s="12">
        <f t="shared" si="10"/>
        <v>1139299.4774680906</v>
      </c>
      <c r="Y44" s="11">
        <f t="shared" si="11"/>
        <v>673870.48651703109</v>
      </c>
      <c r="Z44" s="11">
        <f t="shared" si="12"/>
        <v>249581.66167297447</v>
      </c>
    </row>
    <row r="45" spans="3:30">
      <c r="C45" s="24">
        <f t="shared" si="3"/>
        <v>2.0000000000000018E-2</v>
      </c>
      <c r="D45">
        <f t="shared" si="16"/>
        <v>13</v>
      </c>
      <c r="E45" s="13">
        <f t="shared" si="5"/>
        <v>2038</v>
      </c>
      <c r="F45" s="19">
        <f t="shared" si="17"/>
        <v>0.53618258194912682</v>
      </c>
      <c r="G45" s="19">
        <f t="shared" si="4"/>
        <v>2.0682255961240346</v>
      </c>
      <c r="H45" s="19">
        <f t="shared" si="6"/>
        <v>1.5320430141749077</v>
      </c>
      <c r="I45" s="4">
        <f>'GHG Impact Summary'!D16*3.7854</f>
        <v>2186512.6353790616</v>
      </c>
      <c r="J45" s="2">
        <f t="shared" si="13"/>
        <v>0.77303252508005538</v>
      </c>
      <c r="K45" s="11">
        <f t="shared" si="14"/>
        <v>2589528.6322570415</v>
      </c>
      <c r="L45" s="13">
        <f t="shared" si="7"/>
        <v>2038</v>
      </c>
      <c r="M45" s="2">
        <f t="shared" si="15"/>
        <v>0.95987107477867728</v>
      </c>
      <c r="N45" s="11">
        <v>94</v>
      </c>
      <c r="O45" s="4">
        <f>'GHG Impact Summary'!F16</f>
        <v>7878.077373974209</v>
      </c>
      <c r="P45" s="5">
        <f t="shared" si="8"/>
        <v>572460.94424685743</v>
      </c>
      <c r="Q45" s="5">
        <f>(18000/3412)*'Residential Heat Pump Measure'!$D$36</f>
        <v>5275.4982415005861</v>
      </c>
      <c r="R45" s="11">
        <v>167</v>
      </c>
      <c r="S45" s="11">
        <v>61</v>
      </c>
      <c r="T45" s="5">
        <f t="shared" si="9"/>
        <v>929814.0336836304</v>
      </c>
      <c r="U45" s="12">
        <f t="shared" si="10"/>
        <v>1087253.6543265537</v>
      </c>
      <c r="Y45" s="11">
        <f t="shared" si="11"/>
        <v>681047.99835599249</v>
      </c>
      <c r="Z45" s="11">
        <f t="shared" si="12"/>
        <v>248766.035327638</v>
      </c>
    </row>
    <row r="46" spans="3:30">
      <c r="C46" s="24">
        <f t="shared" si="3"/>
        <v>2.0000000000000018E-2</v>
      </c>
      <c r="D46">
        <f t="shared" si="16"/>
        <v>14</v>
      </c>
      <c r="E46" s="13">
        <f t="shared" si="5"/>
        <v>2039</v>
      </c>
      <c r="F46" s="19">
        <f t="shared" si="17"/>
        <v>0.54690623358810941</v>
      </c>
      <c r="G46" s="19">
        <f t="shared" si="4"/>
        <v>2.0830856989552649</v>
      </c>
      <c r="H46" s="19">
        <f t="shared" si="6"/>
        <v>1.5361794653671554</v>
      </c>
      <c r="I46" s="4">
        <f>'GHG Impact Summary'!D17*3.7854</f>
        <v>2186512.6353790616</v>
      </c>
      <c r="J46" s="2">
        <f t="shared" si="13"/>
        <v>0.75787502458828948</v>
      </c>
      <c r="K46" s="11">
        <f t="shared" si="14"/>
        <v>2545608.0880288403</v>
      </c>
      <c r="L46" s="13">
        <f t="shared" si="7"/>
        <v>2039</v>
      </c>
      <c r="M46" s="2">
        <f t="shared" si="15"/>
        <v>0.95958865595815235</v>
      </c>
      <c r="N46" s="11">
        <v>96</v>
      </c>
      <c r="O46" s="4">
        <f>'GHG Impact Summary'!F17</f>
        <v>7878.077373974209</v>
      </c>
      <c r="P46" s="5">
        <f t="shared" si="8"/>
        <v>573177.41601687844</v>
      </c>
      <c r="Q46" s="5">
        <f>(18000/3412)*'Residential Heat Pump Measure'!$D$36</f>
        <v>5275.4982415005861</v>
      </c>
      <c r="R46" s="11">
        <v>170</v>
      </c>
      <c r="S46" s="11">
        <v>62</v>
      </c>
      <c r="T46" s="5">
        <f t="shared" si="9"/>
        <v>927575.05940231436</v>
      </c>
      <c r="U46" s="12">
        <f t="shared" si="10"/>
        <v>1044855.6126096474</v>
      </c>
      <c r="Y46" s="11">
        <f t="shared" si="11"/>
        <v>679688.62111376482</v>
      </c>
      <c r="Z46" s="11">
        <f t="shared" si="12"/>
        <v>247886.43828854954</v>
      </c>
    </row>
    <row r="47" spans="3:30">
      <c r="C47" s="24">
        <f t="shared" si="3"/>
        <v>2.0000000000000018E-2</v>
      </c>
      <c r="D47">
        <f t="shared" si="16"/>
        <v>15</v>
      </c>
      <c r="E47" s="13">
        <f t="shared" si="5"/>
        <v>2040</v>
      </c>
      <c r="F47" s="19">
        <f t="shared" si="17"/>
        <v>0.55784435825987166</v>
      </c>
      <c r="G47" s="19">
        <f t="shared" si="4"/>
        <v>2.0981899950249376</v>
      </c>
      <c r="H47" s="19">
        <f t="shared" si="6"/>
        <v>1.5403456367650659</v>
      </c>
      <c r="I47" s="4">
        <f>'GHG Impact Summary'!D18*3.7854</f>
        <v>2186512.6353790616</v>
      </c>
      <c r="J47" s="2">
        <f t="shared" si="13"/>
        <v>0.74301472998851925</v>
      </c>
      <c r="K47" s="11">
        <f t="shared" si="14"/>
        <v>2502462.6122281966</v>
      </c>
      <c r="L47" s="13">
        <f t="shared" si="7"/>
        <v>2040</v>
      </c>
      <c r="M47" s="2">
        <f t="shared" si="15"/>
        <v>0.95930168135716609</v>
      </c>
      <c r="N47" s="11">
        <v>97</v>
      </c>
      <c r="O47" s="4">
        <f>'GHG Impact Summary'!F18</f>
        <v>7878.077373974209</v>
      </c>
      <c r="P47" s="5">
        <f t="shared" si="8"/>
        <v>567792.17068665463</v>
      </c>
      <c r="Q47" s="5">
        <f>(18000/3412)*'Residential Heat Pump Measure'!$D$36</f>
        <v>5275.4982415005861</v>
      </c>
      <c r="R47" s="11">
        <v>173</v>
      </c>
      <c r="S47" s="11">
        <v>63</v>
      </c>
      <c r="T47" s="5">
        <f t="shared" si="9"/>
        <v>925066.40474537807</v>
      </c>
      <c r="U47" s="12">
        <f t="shared" si="10"/>
        <v>1009604.0367961638</v>
      </c>
      <c r="Y47" s="11">
        <f t="shared" si="11"/>
        <v>678120.71195317968</v>
      </c>
      <c r="Z47" s="11">
        <f t="shared" si="12"/>
        <v>246945.69279219839</v>
      </c>
    </row>
    <row r="48" spans="3:30">
      <c r="K48" s="18">
        <f>SUM(K33:K47)</f>
        <v>42442305.261721738</v>
      </c>
      <c r="L48" s="18"/>
      <c r="M48" s="18"/>
      <c r="P48" s="21">
        <f>SUM(P33:P47)</f>
        <v>8561403.1218341533</v>
      </c>
      <c r="Q48" s="21"/>
      <c r="R48" s="21"/>
      <c r="S48" s="21"/>
      <c r="T48" s="21">
        <f>SUM(T33:T47)</f>
        <v>12422879.201131143</v>
      </c>
      <c r="U48" s="18">
        <f>SUM(U33:U47)</f>
        <v>21458022.938756432</v>
      </c>
      <c r="Y48" s="18">
        <f>SUM(Y33:Y47)</f>
        <v>8703498.9436979964</v>
      </c>
      <c r="Z48" s="18">
        <f>SUM(Z33:Z47)</f>
        <v>3719380.257433149</v>
      </c>
      <c r="AC48" s="32">
        <f>SUM(AC33:AC47)</f>
        <v>7843137.2549019605</v>
      </c>
      <c r="AD48" s="32">
        <f>SUM(AD33:AD47)</f>
        <v>1960784.3137254901</v>
      </c>
    </row>
    <row r="49" spans="14:26">
      <c r="O49" s="4"/>
    </row>
    <row r="50" spans="14:26">
      <c r="Z50" s="12">
        <f>Z48/2</f>
        <v>1859690.1287165745</v>
      </c>
    </row>
    <row r="51" spans="14:26">
      <c r="P51" s="133" t="e">
        <f>P48+T48+(#REF!*M33)</f>
        <v>#REF!</v>
      </c>
      <c r="Q51" s="19" t="e">
        <f>K48-P51</f>
        <v>#REF!</v>
      </c>
    </row>
    <row r="52" spans="14:26">
      <c r="N52" s="11">
        <v>74</v>
      </c>
    </row>
    <row r="53" spans="14:26">
      <c r="N53" s="11">
        <v>75</v>
      </c>
    </row>
    <row r="54" spans="14:26">
      <c r="N54" s="11">
        <v>77</v>
      </c>
    </row>
    <row r="55" spans="14:26">
      <c r="N55" s="11">
        <v>78</v>
      </c>
    </row>
    <row r="56" spans="14:26">
      <c r="N56" s="11">
        <v>80</v>
      </c>
    </row>
    <row r="57" spans="14:26">
      <c r="N57" s="11">
        <v>82</v>
      </c>
    </row>
    <row r="58" spans="14:26">
      <c r="N58" s="11">
        <v>83</v>
      </c>
    </row>
    <row r="59" spans="14:26">
      <c r="N59" s="11">
        <v>85</v>
      </c>
    </row>
    <row r="60" spans="14:26">
      <c r="N60" s="11">
        <v>87</v>
      </c>
    </row>
    <row r="61" spans="14:26">
      <c r="N61" s="11">
        <v>88</v>
      </c>
    </row>
    <row r="62" spans="14:26">
      <c r="N62" s="11">
        <v>90</v>
      </c>
    </row>
    <row r="63" spans="14:26">
      <c r="N63" s="11">
        <v>92</v>
      </c>
    </row>
    <row r="64" spans="14:26">
      <c r="N64" s="11">
        <v>94</v>
      </c>
    </row>
    <row r="65" spans="14:14">
      <c r="N65" s="11">
        <v>96</v>
      </c>
    </row>
    <row r="66" spans="14:14">
      <c r="N66" s="11">
        <v>97</v>
      </c>
    </row>
    <row r="73" spans="14:14">
      <c r="N73" t="s">
        <v>312</v>
      </c>
    </row>
    <row r="74" spans="14:14">
      <c r="N74" t="s">
        <v>313</v>
      </c>
    </row>
  </sheetData>
  <mergeCells count="2">
    <mergeCell ref="C28:K28"/>
    <mergeCell ref="N28:T28"/>
  </mergeCells>
  <hyperlinks>
    <hyperlink ref="I13" r:id="rId1" xr:uid="{44820324-F8D9-4B33-B48B-881F1CC49DC0}"/>
    <hyperlink ref="H5" r:id="rId2" xr:uid="{98B23F3A-A548-4181-8327-0655CEA6470A}"/>
  </hyperlinks>
  <pageMargins left="0.7" right="0.7" top="0.75" bottom="0.75" header="0.3" footer="0.3"/>
  <pageSetup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5F5EC-D0B2-4800-8691-5585C901BA67}">
  <sheetPr>
    <tabColor theme="3" tint="0.749992370372631"/>
  </sheetPr>
  <dimension ref="B2:U40"/>
  <sheetViews>
    <sheetView zoomScale="80" zoomScaleNormal="80" workbookViewId="0">
      <selection activeCell="K16" sqref="K16"/>
    </sheetView>
  </sheetViews>
  <sheetFormatPr defaultRowHeight="14.45"/>
  <cols>
    <col min="2" max="2" width="26.5703125" customWidth="1"/>
    <col min="3" max="3" width="10" customWidth="1"/>
    <col min="4" max="4" width="10.140625" customWidth="1"/>
    <col min="5" max="5" width="10.42578125" customWidth="1"/>
    <col min="6" max="6" width="10.140625" customWidth="1"/>
    <col min="7" max="7" width="12.5703125" customWidth="1"/>
    <col min="8" max="8" width="13.5703125" customWidth="1"/>
    <col min="9" max="9" width="9.85546875" customWidth="1"/>
    <col min="10" max="10" width="8.5703125" customWidth="1"/>
    <col min="11" max="12" width="12.5703125" customWidth="1"/>
    <col min="13" max="13" width="7" customWidth="1"/>
    <col min="15" max="15" width="7.5703125" customWidth="1"/>
    <col min="16" max="16" width="12.140625" customWidth="1"/>
    <col min="17" max="17" width="8.85546875" customWidth="1"/>
    <col min="18" max="18" width="8" customWidth="1"/>
    <col min="19" max="19" width="8.42578125" customWidth="1"/>
    <col min="20" max="20" width="12.42578125" customWidth="1"/>
    <col min="21" max="21" width="17" customWidth="1"/>
  </cols>
  <sheetData>
    <row r="2" spans="2:6">
      <c r="B2" t="s">
        <v>314</v>
      </c>
      <c r="C2" s="28">
        <v>9.39</v>
      </c>
      <c r="D2" t="s">
        <v>315</v>
      </c>
      <c r="E2" t="s">
        <v>316</v>
      </c>
      <c r="F2" s="25" t="s">
        <v>317</v>
      </c>
    </row>
    <row r="3" spans="2:6">
      <c r="F3" s="57"/>
    </row>
    <row r="4" spans="2:6">
      <c r="B4" t="s">
        <v>279</v>
      </c>
      <c r="C4" s="16" t="s">
        <v>280</v>
      </c>
    </row>
    <row r="5" spans="2:6">
      <c r="C5" s="13">
        <v>2023</v>
      </c>
      <c r="D5" s="11">
        <v>65</v>
      </c>
      <c r="E5" t="s">
        <v>281</v>
      </c>
      <c r="F5" s="25" t="s">
        <v>282</v>
      </c>
    </row>
    <row r="6" spans="2:6">
      <c r="C6" s="13">
        <f>C5+1</f>
        <v>2024</v>
      </c>
      <c r="D6" s="12">
        <f t="shared" ref="D6:D12" si="0">D5+15</f>
        <v>80</v>
      </c>
    </row>
    <row r="7" spans="2:6">
      <c r="C7" s="13">
        <f t="shared" ref="C7:C12" si="1">C6+1</f>
        <v>2025</v>
      </c>
      <c r="D7" s="12">
        <f t="shared" si="0"/>
        <v>95</v>
      </c>
    </row>
    <row r="8" spans="2:6">
      <c r="C8" s="13">
        <f t="shared" si="1"/>
        <v>2026</v>
      </c>
      <c r="D8" s="12">
        <f t="shared" si="0"/>
        <v>110</v>
      </c>
    </row>
    <row r="9" spans="2:6">
      <c r="C9" s="13">
        <f t="shared" si="1"/>
        <v>2027</v>
      </c>
      <c r="D9" s="12">
        <f t="shared" si="0"/>
        <v>125</v>
      </c>
    </row>
    <row r="10" spans="2:6">
      <c r="C10" s="13">
        <f t="shared" si="1"/>
        <v>2028</v>
      </c>
      <c r="D10" s="12">
        <f t="shared" si="0"/>
        <v>140</v>
      </c>
    </row>
    <row r="11" spans="2:6">
      <c r="C11" s="13">
        <f t="shared" si="1"/>
        <v>2029</v>
      </c>
      <c r="D11" s="12">
        <f t="shared" si="0"/>
        <v>155</v>
      </c>
    </row>
    <row r="12" spans="2:6">
      <c r="C12" s="13">
        <f t="shared" si="1"/>
        <v>2030</v>
      </c>
      <c r="D12" s="12">
        <f t="shared" si="0"/>
        <v>170</v>
      </c>
    </row>
    <row r="14" spans="2:6">
      <c r="B14" t="s">
        <v>318</v>
      </c>
      <c r="C14">
        <v>52.91</v>
      </c>
      <c r="D14" t="s">
        <v>319</v>
      </c>
      <c r="E14" s="25" t="s">
        <v>226</v>
      </c>
    </row>
    <row r="15" spans="2:6">
      <c r="B15" t="s">
        <v>318</v>
      </c>
      <c r="C15" s="2">
        <f>C14/1.055587</f>
        <v>50.12376999716745</v>
      </c>
      <c r="D15" t="s">
        <v>320</v>
      </c>
      <c r="E15" t="s">
        <v>236</v>
      </c>
      <c r="F15" s="25" t="s">
        <v>237</v>
      </c>
    </row>
    <row r="17" spans="2:21">
      <c r="B17" t="s">
        <v>286</v>
      </c>
      <c r="D17" s="24">
        <v>-3.4999999999999996E-3</v>
      </c>
      <c r="E17" t="s">
        <v>321</v>
      </c>
      <c r="F17" t="s">
        <v>322</v>
      </c>
    </row>
    <row r="20" spans="2:21">
      <c r="C20" s="211" t="s">
        <v>323</v>
      </c>
      <c r="D20" s="211"/>
      <c r="E20" s="211"/>
      <c r="F20" s="211"/>
      <c r="G20" s="211"/>
      <c r="H20" s="211"/>
      <c r="I20" s="211"/>
      <c r="J20" s="211"/>
      <c r="K20" s="211"/>
      <c r="L20" s="165"/>
      <c r="M20" s="165"/>
      <c r="N20" s="210" t="s">
        <v>42</v>
      </c>
      <c r="O20" s="210"/>
      <c r="P20" s="210"/>
      <c r="Q20" s="210"/>
      <c r="R20" s="210"/>
      <c r="S20" s="210"/>
      <c r="T20" s="210"/>
      <c r="U20" s="37" t="s">
        <v>292</v>
      </c>
    </row>
    <row r="21" spans="2:21" ht="72.599999999999994">
      <c r="C21" s="15" t="s">
        <v>324</v>
      </c>
      <c r="D21" s="16" t="s">
        <v>294</v>
      </c>
      <c r="E21" s="16" t="s">
        <v>280</v>
      </c>
      <c r="F21" s="15" t="s">
        <v>325</v>
      </c>
      <c r="G21" s="15" t="s">
        <v>296</v>
      </c>
      <c r="H21" s="15" t="s">
        <v>297</v>
      </c>
      <c r="I21" s="15" t="s">
        <v>326</v>
      </c>
      <c r="J21" s="15" t="s">
        <v>299</v>
      </c>
      <c r="K21" s="15" t="s">
        <v>327</v>
      </c>
      <c r="L21" s="16" t="s">
        <v>280</v>
      </c>
      <c r="M21" s="15" t="s">
        <v>299</v>
      </c>
      <c r="N21" s="15" t="s">
        <v>301</v>
      </c>
      <c r="O21" s="15" t="s">
        <v>302</v>
      </c>
      <c r="P21" s="15" t="s">
        <v>328</v>
      </c>
      <c r="Q21" s="15" t="s">
        <v>304</v>
      </c>
      <c r="R21" s="15" t="s">
        <v>305</v>
      </c>
      <c r="S21" s="15" t="s">
        <v>306</v>
      </c>
      <c r="T21" s="15" t="s">
        <v>307</v>
      </c>
      <c r="U21" s="15" t="s">
        <v>329</v>
      </c>
    </row>
    <row r="22" spans="2:21">
      <c r="B22" t="s">
        <v>293</v>
      </c>
      <c r="E22" s="13">
        <v>2023</v>
      </c>
      <c r="F22" s="10">
        <f t="shared" ref="F22:F29" si="2">D5/(1000/$C$15)</f>
        <v>3.2580450498158844</v>
      </c>
      <c r="G22" s="126">
        <f>C2</f>
        <v>9.39</v>
      </c>
      <c r="H22" s="19">
        <f>G22-F22</f>
        <v>6.1319549501841166</v>
      </c>
      <c r="K22" s="11"/>
      <c r="L22" s="13">
        <v>2023</v>
      </c>
    </row>
    <row r="23" spans="2:21">
      <c r="C23" s="24">
        <f t="shared" ref="C23:C39" si="3">(F23/F22)-1</f>
        <v>0.23076923076923084</v>
      </c>
      <c r="E23" s="13">
        <f>E22+1</f>
        <v>2024</v>
      </c>
      <c r="F23" s="10">
        <f t="shared" si="2"/>
        <v>4.0099015997733964</v>
      </c>
      <c r="G23" s="19">
        <f t="shared" ref="G23:G39" si="4">G22+(G22*$D$17)+(F23-F22)</f>
        <v>10.108991549957514</v>
      </c>
      <c r="H23" s="19">
        <f>G23-F23</f>
        <v>6.0990899501841174</v>
      </c>
      <c r="L23" s="13">
        <f>L22+1</f>
        <v>2024</v>
      </c>
    </row>
    <row r="24" spans="2:21">
      <c r="C24" s="24">
        <f t="shared" si="3"/>
        <v>0.1875</v>
      </c>
      <c r="E24" s="13">
        <f t="shared" ref="E24:E39" si="5">E23+1</f>
        <v>2025</v>
      </c>
      <c r="F24" s="10">
        <f t="shared" si="2"/>
        <v>4.7617581497309081</v>
      </c>
      <c r="G24" s="19">
        <f t="shared" si="4"/>
        <v>10.825466629490172</v>
      </c>
      <c r="H24" s="19">
        <f t="shared" ref="H24:H39" si="6">G24-F24</f>
        <v>6.0637084797592644</v>
      </c>
      <c r="L24" s="13">
        <f t="shared" ref="L24:L39" si="7">L23+1</f>
        <v>2025</v>
      </c>
    </row>
    <row r="25" spans="2:21">
      <c r="C25" s="24">
        <f t="shared" si="3"/>
        <v>0.15789473684210531</v>
      </c>
      <c r="D25">
        <v>1</v>
      </c>
      <c r="E25" s="13">
        <f t="shared" si="5"/>
        <v>2026</v>
      </c>
      <c r="F25" s="10">
        <f t="shared" si="2"/>
        <v>5.5136146996884197</v>
      </c>
      <c r="G25" s="19">
        <f t="shared" si="4"/>
        <v>11.53943404624447</v>
      </c>
      <c r="H25" s="19">
        <f t="shared" si="6"/>
        <v>6.0258193465560499</v>
      </c>
      <c r="I25" s="30">
        <f>'Residential Heat Pump Measure'!$D$14*'Residential Heat Pump Measure'!$D$36</f>
        <v>84469.60000000002</v>
      </c>
      <c r="J25" s="2">
        <f>1/(1+0.02)^D25</f>
        <v>0.98039215686274506</v>
      </c>
      <c r="K25" s="11">
        <f>H25*I25*J25</f>
        <v>499018.1861527951</v>
      </c>
      <c r="L25" s="13">
        <f t="shared" si="7"/>
        <v>2026</v>
      </c>
      <c r="M25" s="2">
        <f>1/(1+0.02)^G25</f>
        <v>0.79571745544009653</v>
      </c>
      <c r="N25" s="11">
        <v>74</v>
      </c>
      <c r="O25" s="4">
        <f>'GHG Impact Summary'!F4</f>
        <v>7878.077373974209</v>
      </c>
      <c r="P25" s="5">
        <f t="shared" ref="P25:P39" si="8">J25*N25*O25</f>
        <v>571546.78987656021</v>
      </c>
      <c r="Q25" s="5">
        <f>(18000/3412)*'Residential Heat Pump Measure'!$D$36</f>
        <v>5275.4982415005861</v>
      </c>
      <c r="R25" s="11">
        <v>67</v>
      </c>
      <c r="S25" s="11">
        <v>48</v>
      </c>
      <c r="T25" s="5">
        <f t="shared" ref="T25:T39" si="9">(J25*Q25*R25)+(J25*Q25*S25)</f>
        <v>594786.56644369347</v>
      </c>
      <c r="U25" s="12">
        <f t="shared" ref="U25:U39" si="10">K25-(P25+T25)</f>
        <v>-667315.17016745848</v>
      </c>
    </row>
    <row r="26" spans="2:21">
      <c r="C26" s="24">
        <f t="shared" si="3"/>
        <v>0.13636363636363624</v>
      </c>
      <c r="D26">
        <f>D25+1</f>
        <v>2</v>
      </c>
      <c r="E26" s="13">
        <f t="shared" si="5"/>
        <v>2027</v>
      </c>
      <c r="F26" s="10">
        <f t="shared" si="2"/>
        <v>6.2654712496459313</v>
      </c>
      <c r="G26" s="19">
        <f t="shared" si="4"/>
        <v>12.250902577040126</v>
      </c>
      <c r="H26" s="19">
        <f t="shared" si="6"/>
        <v>5.9854313273941946</v>
      </c>
      <c r="I26" s="30">
        <f>'Residential Heat Pump Measure'!$D$14*'Residential Heat Pump Measure'!$D$36</f>
        <v>84469.60000000002</v>
      </c>
      <c r="J26" s="2">
        <f t="shared" ref="J26:J39" si="11">1/(1+0.02)^D26</f>
        <v>0.96116878123798544</v>
      </c>
      <c r="K26" s="11">
        <f t="shared" ref="K26:K39" si="12">H26*I26*J26</f>
        <v>485954.43103850138</v>
      </c>
      <c r="L26" s="13">
        <f t="shared" si="7"/>
        <v>2027</v>
      </c>
      <c r="M26" s="2">
        <f t="shared" ref="M26:M39" si="13">1/(1+0.02)^G26</f>
        <v>0.78458523979779127</v>
      </c>
      <c r="N26" s="11">
        <v>75</v>
      </c>
      <c r="O26" s="4">
        <f>'GHG Impact Summary'!F5</f>
        <v>7878.077373974209</v>
      </c>
      <c r="P26" s="5">
        <f t="shared" si="8"/>
        <v>567912.15210310044</v>
      </c>
      <c r="Q26" s="5">
        <f>(18000/3412)*'Residential Heat Pump Measure'!$D$36</f>
        <v>5275.4982415005861</v>
      </c>
      <c r="R26" s="11">
        <v>80</v>
      </c>
      <c r="S26" s="11">
        <v>49</v>
      </c>
      <c r="T26" s="5">
        <f t="shared" si="9"/>
        <v>654113.10376160673</v>
      </c>
      <c r="U26" s="12">
        <f t="shared" si="10"/>
        <v>-736070.82482620585</v>
      </c>
    </row>
    <row r="27" spans="2:21">
      <c r="C27" s="24">
        <f t="shared" si="3"/>
        <v>0.11999999999999988</v>
      </c>
      <c r="D27">
        <f t="shared" ref="D27:D39" si="14">D26+1</f>
        <v>3</v>
      </c>
      <c r="E27" s="13">
        <f t="shared" si="5"/>
        <v>2028</v>
      </c>
      <c r="F27" s="10">
        <f t="shared" si="2"/>
        <v>7.0173277996034429</v>
      </c>
      <c r="G27" s="19">
        <f t="shared" si="4"/>
        <v>12.959880967977998</v>
      </c>
      <c r="H27" s="19">
        <f t="shared" si="6"/>
        <v>5.9425531683745554</v>
      </c>
      <c r="I27" s="30">
        <f>'Residential Heat Pump Measure'!$D$14*'Residential Heat Pump Measure'!$D$36</f>
        <v>84469.60000000002</v>
      </c>
      <c r="J27" s="2">
        <f t="shared" si="11"/>
        <v>0.94232233454704462</v>
      </c>
      <c r="K27" s="11">
        <f t="shared" si="12"/>
        <v>473012.91463250516</v>
      </c>
      <c r="L27" s="13">
        <f t="shared" si="7"/>
        <v>2028</v>
      </c>
      <c r="M27" s="2">
        <f t="shared" si="13"/>
        <v>0.77364691425263599</v>
      </c>
      <c r="N27" s="11">
        <v>77</v>
      </c>
      <c r="O27" s="4">
        <f>'GHG Impact Summary'!F6</f>
        <v>7878.077373974209</v>
      </c>
      <c r="P27" s="5">
        <f t="shared" si="8"/>
        <v>571623.99623449333</v>
      </c>
      <c r="Q27" s="5">
        <f>(18000/3412)*'Residential Heat Pump Measure'!$D$36</f>
        <v>5275.4982415005861</v>
      </c>
      <c r="R27" s="11">
        <v>91</v>
      </c>
      <c r="S27" s="11">
        <v>50</v>
      </c>
      <c r="T27" s="5">
        <f t="shared" si="9"/>
        <v>700941.99445498211</v>
      </c>
      <c r="U27" s="12">
        <f t="shared" si="10"/>
        <v>-799553.0760569704</v>
      </c>
    </row>
    <row r="28" spans="2:21">
      <c r="C28" s="24">
        <f t="shared" si="3"/>
        <v>0.10714285714285721</v>
      </c>
      <c r="D28">
        <f t="shared" si="14"/>
        <v>4</v>
      </c>
      <c r="E28" s="13">
        <f t="shared" si="5"/>
        <v>2029</v>
      </c>
      <c r="F28" s="10">
        <f t="shared" si="2"/>
        <v>7.7691843495609554</v>
      </c>
      <c r="G28" s="19">
        <f t="shared" si="4"/>
        <v>13.666377934547588</v>
      </c>
      <c r="H28" s="19">
        <f t="shared" si="6"/>
        <v>5.897193584986633</v>
      </c>
      <c r="I28" s="30">
        <f>'Residential Heat Pump Measure'!$D$14*'Residential Heat Pump Measure'!$D$36</f>
        <v>84469.60000000002</v>
      </c>
      <c r="J28" s="2">
        <f t="shared" si="11"/>
        <v>0.9238454260265142</v>
      </c>
      <c r="K28" s="11">
        <f t="shared" si="12"/>
        <v>460198.43243237247</v>
      </c>
      <c r="L28" s="13">
        <f t="shared" si="7"/>
        <v>2029</v>
      </c>
      <c r="M28" s="2">
        <f t="shared" si="13"/>
        <v>0.76289857273702066</v>
      </c>
      <c r="N28" s="11">
        <v>78</v>
      </c>
      <c r="O28" s="4">
        <f>'GHG Impact Summary'!F7</f>
        <v>7878.077373974209</v>
      </c>
      <c r="P28" s="5">
        <f t="shared" si="8"/>
        <v>567693.80833066558</v>
      </c>
      <c r="Q28" s="5">
        <f>(18000/3412)*'Residential Heat Pump Measure'!$D$36</f>
        <v>5275.4982415005861</v>
      </c>
      <c r="R28" s="11">
        <v>102</v>
      </c>
      <c r="S28" s="11">
        <v>51</v>
      </c>
      <c r="T28" s="5">
        <f t="shared" si="9"/>
        <v>745682.97282444895</v>
      </c>
      <c r="U28" s="12">
        <f t="shared" si="10"/>
        <v>-853178.34872274206</v>
      </c>
    </row>
    <row r="29" spans="2:21">
      <c r="C29" s="24">
        <f t="shared" si="3"/>
        <v>9.6774193548387011E-2</v>
      </c>
      <c r="D29">
        <f t="shared" si="14"/>
        <v>5</v>
      </c>
      <c r="E29" s="13">
        <f t="shared" si="5"/>
        <v>2030</v>
      </c>
      <c r="F29" s="10">
        <f t="shared" si="2"/>
        <v>8.5210408995184661</v>
      </c>
      <c r="G29" s="19">
        <f t="shared" si="4"/>
        <v>14.370402161734182</v>
      </c>
      <c r="H29" s="19">
        <f t="shared" si="6"/>
        <v>5.8493612622157158</v>
      </c>
      <c r="I29" s="30">
        <f>'Residential Heat Pump Measure'!$D$14*'Residential Heat Pump Measure'!$D$36</f>
        <v>84469.60000000002</v>
      </c>
      <c r="J29" s="2">
        <f t="shared" si="11"/>
        <v>0.90573080982991594</v>
      </c>
      <c r="K29" s="11">
        <f t="shared" si="12"/>
        <v>447515.43966963957</v>
      </c>
      <c r="L29" s="13">
        <f t="shared" si="7"/>
        <v>2030</v>
      </c>
      <c r="M29" s="2">
        <f t="shared" si="13"/>
        <v>0.75233639738835922</v>
      </c>
      <c r="N29" s="11">
        <v>80</v>
      </c>
      <c r="O29" s="4">
        <f>'GHG Impact Summary'!F8</f>
        <v>7878.077373974209</v>
      </c>
      <c r="P29" s="5">
        <f t="shared" si="8"/>
        <v>570833.39198659186</v>
      </c>
      <c r="Q29" s="5">
        <f>(18000/3412)*'Residential Heat Pump Measure'!$D$36</f>
        <v>5275.4982415005861</v>
      </c>
      <c r="R29" s="11">
        <v>112</v>
      </c>
      <c r="S29" s="11">
        <v>52</v>
      </c>
      <c r="T29" s="5">
        <f t="shared" si="9"/>
        <v>783621.73230302229</v>
      </c>
      <c r="U29" s="12">
        <f t="shared" si="10"/>
        <v>-906939.68461997458</v>
      </c>
    </row>
    <row r="30" spans="2:21">
      <c r="C30" s="24">
        <f t="shared" si="3"/>
        <v>2.0000000000000018E-2</v>
      </c>
      <c r="D30">
        <f t="shared" si="14"/>
        <v>6</v>
      </c>
      <c r="E30" s="13">
        <f t="shared" si="5"/>
        <v>2031</v>
      </c>
      <c r="F30" s="19">
        <f>F29*1.02</f>
        <v>8.6914617175088349</v>
      </c>
      <c r="G30" s="19">
        <f t="shared" si="4"/>
        <v>14.490526572158481</v>
      </c>
      <c r="H30" s="19">
        <f t="shared" si="6"/>
        <v>5.7990648546496466</v>
      </c>
      <c r="I30" s="30">
        <f>'Residential Heat Pump Measure'!$D$14*'Residential Heat Pump Measure'!$D$36</f>
        <v>84469.60000000002</v>
      </c>
      <c r="J30" s="2">
        <f t="shared" si="11"/>
        <v>0.88797138218619198</v>
      </c>
      <c r="K30" s="11">
        <f t="shared" si="12"/>
        <v>434968.06523383223</v>
      </c>
      <c r="L30" s="13">
        <f t="shared" si="7"/>
        <v>2031</v>
      </c>
      <c r="M30" s="2">
        <f t="shared" si="13"/>
        <v>0.7505488823133768</v>
      </c>
      <c r="N30" s="11">
        <v>82</v>
      </c>
      <c r="O30" s="4">
        <f>'GHG Impact Summary'!F9</f>
        <v>7878.077373974209</v>
      </c>
      <c r="P30" s="5">
        <f t="shared" si="8"/>
        <v>573631.59488848678</v>
      </c>
      <c r="Q30" s="5">
        <f>(18000/3412)*'Residential Heat Pump Measure'!$D$36</f>
        <v>5275.4982415005861</v>
      </c>
      <c r="R30" s="11">
        <v>122</v>
      </c>
      <c r="S30" s="11">
        <v>53</v>
      </c>
      <c r="T30" s="5">
        <f t="shared" si="9"/>
        <v>819786.00641456759</v>
      </c>
      <c r="U30" s="12">
        <f t="shared" si="10"/>
        <v>-958449.53606922226</v>
      </c>
    </row>
    <row r="31" spans="2:21">
      <c r="C31" s="24">
        <f t="shared" si="3"/>
        <v>2.0000000000000018E-2</v>
      </c>
      <c r="D31">
        <f t="shared" si="14"/>
        <v>7</v>
      </c>
      <c r="E31" s="13">
        <f t="shared" si="5"/>
        <v>2032</v>
      </c>
      <c r="F31" s="19">
        <f t="shared" ref="F31:F39" si="15">F30*1.02</f>
        <v>8.8652909518590111</v>
      </c>
      <c r="G31" s="19">
        <f t="shared" si="4"/>
        <v>14.613638963506103</v>
      </c>
      <c r="H31" s="19">
        <f t="shared" si="6"/>
        <v>5.7483480116470922</v>
      </c>
      <c r="I31" s="30">
        <f>'Residential Heat Pump Measure'!$D$14*'Residential Heat Pump Measure'!$D$36</f>
        <v>84469.60000000002</v>
      </c>
      <c r="J31" s="2">
        <f t="shared" si="11"/>
        <v>0.87056017861391388</v>
      </c>
      <c r="K31" s="11">
        <f t="shared" si="12"/>
        <v>422709.772463948</v>
      </c>
      <c r="L31" s="13">
        <f t="shared" si="7"/>
        <v>2032</v>
      </c>
      <c r="M31" s="2">
        <f t="shared" si="13"/>
        <v>0.74872131123290764</v>
      </c>
      <c r="N31" s="11">
        <v>83</v>
      </c>
      <c r="O31" s="4">
        <f>'GHG Impact Summary'!F10</f>
        <v>7878.077373974209</v>
      </c>
      <c r="P31" s="5">
        <f t="shared" si="8"/>
        <v>569242.25700316136</v>
      </c>
      <c r="Q31" s="5">
        <f>(18000/3412)*'Residential Heat Pump Measure'!$D$36</f>
        <v>5275.4982415005861</v>
      </c>
      <c r="R31" s="11">
        <v>130</v>
      </c>
      <c r="S31" s="11">
        <v>54</v>
      </c>
      <c r="T31" s="5">
        <f t="shared" si="9"/>
        <v>845045.5192172575</v>
      </c>
      <c r="U31" s="12">
        <f t="shared" si="10"/>
        <v>-991578.00375647098</v>
      </c>
    </row>
    <row r="32" spans="2:21">
      <c r="C32" s="24">
        <f t="shared" si="3"/>
        <v>2.0000000000000018E-2</v>
      </c>
      <c r="D32">
        <f t="shared" si="14"/>
        <v>8</v>
      </c>
      <c r="E32" s="13">
        <f t="shared" si="5"/>
        <v>2033</v>
      </c>
      <c r="F32" s="19">
        <f t="shared" si="15"/>
        <v>9.042596770896191</v>
      </c>
      <c r="G32" s="19">
        <f t="shared" si="4"/>
        <v>14.739797046171011</v>
      </c>
      <c r="H32" s="19">
        <f t="shared" si="6"/>
        <v>5.6972002752748203</v>
      </c>
      <c r="I32" s="30">
        <f>'Residential Heat Pump Measure'!$D$14*'Residential Heat Pump Measure'!$D$36</f>
        <v>84469.60000000002</v>
      </c>
      <c r="J32" s="2">
        <f t="shared" si="11"/>
        <v>0.85349037119011162</v>
      </c>
      <c r="K32" s="11">
        <f t="shared" si="12"/>
        <v>410733.90114513453</v>
      </c>
      <c r="L32" s="13">
        <f t="shared" si="7"/>
        <v>2033</v>
      </c>
      <c r="M32" s="2">
        <f t="shared" si="13"/>
        <v>0.74685314416982107</v>
      </c>
      <c r="N32" s="11">
        <v>85</v>
      </c>
      <c r="O32" s="4">
        <f>'GHG Impact Summary'!F11</f>
        <v>7878.077373974209</v>
      </c>
      <c r="P32" s="5">
        <f t="shared" si="8"/>
        <v>571528.37048510183</v>
      </c>
      <c r="Q32" s="5">
        <f>(18000/3412)*'Residential Heat Pump Measure'!$D$36</f>
        <v>5275.4982415005861</v>
      </c>
      <c r="R32" s="11">
        <v>138</v>
      </c>
      <c r="S32" s="11">
        <v>55</v>
      </c>
      <c r="T32" s="5">
        <f t="shared" si="9"/>
        <v>868999.28180376545</v>
      </c>
      <c r="U32" s="12">
        <f t="shared" si="10"/>
        <v>-1029793.7511437326</v>
      </c>
    </row>
    <row r="33" spans="3:21">
      <c r="C33" s="24">
        <f t="shared" si="3"/>
        <v>2.0000000000000018E-2</v>
      </c>
      <c r="D33">
        <f t="shared" si="14"/>
        <v>9</v>
      </c>
      <c r="E33" s="13">
        <f t="shared" si="5"/>
        <v>2034</v>
      </c>
      <c r="F33" s="19">
        <f t="shared" si="15"/>
        <v>9.2234487063141142</v>
      </c>
      <c r="G33" s="19">
        <f t="shared" si="4"/>
        <v>14.869059691927337</v>
      </c>
      <c r="H33" s="19">
        <f t="shared" si="6"/>
        <v>5.6456109856132226</v>
      </c>
      <c r="I33" s="30">
        <f>'Residential Heat Pump Measure'!$D$14*'Residential Heat Pump Measure'!$D$36</f>
        <v>84469.60000000002</v>
      </c>
      <c r="J33" s="2">
        <f t="shared" si="11"/>
        <v>0.83675526587265847</v>
      </c>
      <c r="K33" s="11">
        <f t="shared" si="12"/>
        <v>399033.94450866641</v>
      </c>
      <c r="L33" s="13">
        <f t="shared" si="7"/>
        <v>2034</v>
      </c>
      <c r="M33" s="2">
        <f t="shared" si="13"/>
        <v>0.74494383900954819</v>
      </c>
      <c r="N33" s="11">
        <v>87</v>
      </c>
      <c r="O33" s="4">
        <f>'GHG Impact Summary'!F12</f>
        <v>7878.077373974209</v>
      </c>
      <c r="P33" s="5">
        <f t="shared" si="8"/>
        <v>573505.97730338934</v>
      </c>
      <c r="Q33" s="5">
        <f>(18000/3412)*'Residential Heat Pump Measure'!$D$36</f>
        <v>5275.4982415005861</v>
      </c>
      <c r="R33" s="11">
        <v>145</v>
      </c>
      <c r="S33" s="11">
        <v>56</v>
      </c>
      <c r="T33" s="5">
        <f t="shared" si="9"/>
        <v>887274.48766919062</v>
      </c>
      <c r="U33" s="12">
        <f t="shared" si="10"/>
        <v>-1061746.5204639134</v>
      </c>
    </row>
    <row r="34" spans="3:21">
      <c r="C34" s="24">
        <f t="shared" si="3"/>
        <v>2.0000000000000018E-2</v>
      </c>
      <c r="D34">
        <f t="shared" si="14"/>
        <v>10</v>
      </c>
      <c r="E34" s="13">
        <f t="shared" si="5"/>
        <v>2035</v>
      </c>
      <c r="F34" s="19">
        <f t="shared" si="15"/>
        <v>9.4079176804403968</v>
      </c>
      <c r="G34" s="19">
        <f t="shared" si="4"/>
        <v>15.001486957131874</v>
      </c>
      <c r="H34" s="19">
        <f t="shared" si="6"/>
        <v>5.5935692766914773</v>
      </c>
      <c r="I34" s="30">
        <f>'Residential Heat Pump Measure'!$D$14*'Residential Heat Pump Measure'!$D$36</f>
        <v>84469.60000000002</v>
      </c>
      <c r="J34" s="2">
        <f t="shared" si="11"/>
        <v>0.82034829987515534</v>
      </c>
      <c r="K34" s="11">
        <f t="shared" si="12"/>
        <v>387603.54569666588</v>
      </c>
      <c r="L34" s="13">
        <f t="shared" si="7"/>
        <v>2035</v>
      </c>
      <c r="M34" s="2">
        <f t="shared" si="13"/>
        <v>0.74299285175308516</v>
      </c>
      <c r="N34" s="11">
        <v>88</v>
      </c>
      <c r="O34" s="4">
        <f>'GHG Impact Summary'!F13</f>
        <v>7878.077373974209</v>
      </c>
      <c r="P34" s="5">
        <f t="shared" si="8"/>
        <v>568723.52944217098</v>
      </c>
      <c r="Q34" s="5">
        <f>(18000/3412)*'Residential Heat Pump Measure'!$D$36</f>
        <v>5275.4982415005861</v>
      </c>
      <c r="R34" s="11">
        <v>152</v>
      </c>
      <c r="S34" s="11">
        <v>57</v>
      </c>
      <c r="T34" s="5">
        <f t="shared" si="9"/>
        <v>904498.91680255975</v>
      </c>
      <c r="U34" s="12">
        <f t="shared" si="10"/>
        <v>-1085618.9005480646</v>
      </c>
    </row>
    <row r="35" spans="3:21">
      <c r="C35" s="24">
        <f t="shared" si="3"/>
        <v>2.0000000000000018E-2</v>
      </c>
      <c r="D35">
        <f t="shared" si="14"/>
        <v>11</v>
      </c>
      <c r="E35" s="13">
        <f t="shared" si="5"/>
        <v>2036</v>
      </c>
      <c r="F35" s="19">
        <f t="shared" si="15"/>
        <v>9.5960760340492044</v>
      </c>
      <c r="G35" s="19">
        <f t="shared" si="4"/>
        <v>15.137140106390721</v>
      </c>
      <c r="H35" s="19">
        <f t="shared" si="6"/>
        <v>5.5410640723415163</v>
      </c>
      <c r="I35" s="30">
        <f>'Residential Heat Pump Measure'!$D$14*'Residential Heat Pump Measure'!$D$36</f>
        <v>84469.60000000002</v>
      </c>
      <c r="J35" s="2">
        <f t="shared" si="11"/>
        <v>0.80426303909328967</v>
      </c>
      <c r="K35" s="11">
        <f t="shared" si="12"/>
        <v>376436.49430827523</v>
      </c>
      <c r="L35" s="13">
        <f t="shared" si="7"/>
        <v>2036</v>
      </c>
      <c r="M35" s="2">
        <f t="shared" si="13"/>
        <v>0.74099963678348202</v>
      </c>
      <c r="N35" s="11">
        <v>90</v>
      </c>
      <c r="O35" s="4">
        <f>'GHG Impact Summary'!F14</f>
        <v>7878.077373974209</v>
      </c>
      <c r="P35" s="5">
        <f t="shared" si="8"/>
        <v>570244.18059041211</v>
      </c>
      <c r="Q35" s="5">
        <f>(18000/3412)*'Residential Heat Pump Measure'!$D$36</f>
        <v>5275.4982415005861</v>
      </c>
      <c r="R35" s="11">
        <v>157</v>
      </c>
      <c r="S35" s="11">
        <v>58</v>
      </c>
      <c r="T35" s="5">
        <f t="shared" si="9"/>
        <v>912220.9734147219</v>
      </c>
      <c r="U35" s="12">
        <f t="shared" si="10"/>
        <v>-1106028.6596968588</v>
      </c>
    </row>
    <row r="36" spans="3:21">
      <c r="C36" s="24">
        <f t="shared" si="3"/>
        <v>2.0000000000000018E-2</v>
      </c>
      <c r="D36">
        <f t="shared" si="14"/>
        <v>12</v>
      </c>
      <c r="E36" s="13">
        <f t="shared" si="5"/>
        <v>2037</v>
      </c>
      <c r="F36" s="19">
        <f t="shared" si="15"/>
        <v>9.7879975547301878</v>
      </c>
      <c r="G36" s="19">
        <f t="shared" si="4"/>
        <v>15.276081636699336</v>
      </c>
      <c r="H36" s="19">
        <f t="shared" si="6"/>
        <v>5.4880840819691485</v>
      </c>
      <c r="I36" s="30">
        <f>'Residential Heat Pump Measure'!$D$14*'Residential Heat Pump Measure'!$D$36</f>
        <v>84469.60000000002</v>
      </c>
      <c r="J36" s="2">
        <f t="shared" si="11"/>
        <v>0.78849317558165644</v>
      </c>
      <c r="K36" s="11">
        <f t="shared" si="12"/>
        <v>365526.72302540124</v>
      </c>
      <c r="L36" s="13">
        <f t="shared" si="7"/>
        <v>2037</v>
      </c>
      <c r="M36" s="2">
        <f t="shared" si="13"/>
        <v>0.73896364714623564</v>
      </c>
      <c r="N36" s="11">
        <v>92</v>
      </c>
      <c r="O36" s="4">
        <f>'GHG Impact Summary'!F15</f>
        <v>7878.077373974209</v>
      </c>
      <c r="P36" s="5">
        <f t="shared" si="8"/>
        <v>571486.54263962875</v>
      </c>
      <c r="Q36" s="5">
        <f>(18000/3412)*'Residential Heat Pump Measure'!$D$36</f>
        <v>5275.4982415005861</v>
      </c>
      <c r="R36" s="11">
        <v>162</v>
      </c>
      <c r="S36" s="11">
        <v>60</v>
      </c>
      <c r="T36" s="5">
        <f t="shared" si="9"/>
        <v>923452.14819000557</v>
      </c>
      <c r="U36" s="12">
        <f t="shared" si="10"/>
        <v>-1129411.9678042331</v>
      </c>
    </row>
    <row r="37" spans="3:21">
      <c r="C37" s="24">
        <f t="shared" si="3"/>
        <v>2.0000000000000018E-2</v>
      </c>
      <c r="D37">
        <f t="shared" si="14"/>
        <v>13</v>
      </c>
      <c r="E37" s="13">
        <f t="shared" si="5"/>
        <v>2038</v>
      </c>
      <c r="F37" s="19">
        <f t="shared" si="15"/>
        <v>9.9837575058247925</v>
      </c>
      <c r="G37" s="19">
        <f t="shared" si="4"/>
        <v>15.418375302065494</v>
      </c>
      <c r="H37" s="19">
        <f t="shared" si="6"/>
        <v>5.4346177962407012</v>
      </c>
      <c r="I37" s="30">
        <f>'Residential Heat Pump Measure'!$D$14*'Residential Heat Pump Measure'!$D$36</f>
        <v>84469.60000000002</v>
      </c>
      <c r="J37" s="2">
        <f t="shared" si="11"/>
        <v>0.77303252508005538</v>
      </c>
      <c r="K37" s="11">
        <f t="shared" si="12"/>
        <v>354868.30431620148</v>
      </c>
      <c r="L37" s="13">
        <f t="shared" si="7"/>
        <v>2038</v>
      </c>
      <c r="M37" s="2">
        <f t="shared" si="13"/>
        <v>0.73688433484400129</v>
      </c>
      <c r="N37" s="11">
        <v>94</v>
      </c>
      <c r="O37" s="4">
        <f>'GHG Impact Summary'!F16</f>
        <v>7878.077373974209</v>
      </c>
      <c r="P37" s="5">
        <f t="shared" si="8"/>
        <v>572460.94424685743</v>
      </c>
      <c r="Q37" s="5">
        <f>(18000/3412)*'Residential Heat Pump Measure'!$D$36</f>
        <v>5275.4982415005861</v>
      </c>
      <c r="R37" s="11">
        <v>167</v>
      </c>
      <c r="S37" s="11">
        <v>61</v>
      </c>
      <c r="T37" s="5">
        <f t="shared" si="9"/>
        <v>929814.0336836304</v>
      </c>
      <c r="U37" s="12">
        <f t="shared" si="10"/>
        <v>-1147406.6736142864</v>
      </c>
    </row>
    <row r="38" spans="3:21">
      <c r="C38" s="24">
        <f t="shared" si="3"/>
        <v>2.0000000000000018E-2</v>
      </c>
      <c r="D38">
        <f t="shared" si="14"/>
        <v>14</v>
      </c>
      <c r="E38" s="13">
        <f t="shared" si="5"/>
        <v>2039</v>
      </c>
      <c r="F38" s="19">
        <f t="shared" si="15"/>
        <v>10.183432655941289</v>
      </c>
      <c r="G38" s="19">
        <f t="shared" si="4"/>
        <v>15.564086138624761</v>
      </c>
      <c r="H38" s="19">
        <f t="shared" si="6"/>
        <v>5.3806534826834724</v>
      </c>
      <c r="I38" s="30">
        <f>'Residential Heat Pump Measure'!$D$14*'Residential Heat Pump Measure'!$D$36</f>
        <v>84469.60000000002</v>
      </c>
      <c r="J38" s="2">
        <f t="shared" si="11"/>
        <v>0.75787502458828948</v>
      </c>
      <c r="K38" s="11">
        <f t="shared" si="12"/>
        <v>344455.44721451751</v>
      </c>
      <c r="L38" s="13">
        <f t="shared" si="7"/>
        <v>2039</v>
      </c>
      <c r="M38" s="2">
        <f t="shared" si="13"/>
        <v>0.73476115114605089</v>
      </c>
      <c r="N38" s="11">
        <v>96</v>
      </c>
      <c r="O38" s="4">
        <f>'GHG Impact Summary'!F17</f>
        <v>7878.077373974209</v>
      </c>
      <c r="P38" s="5">
        <f t="shared" si="8"/>
        <v>573177.41601687844</v>
      </c>
      <c r="Q38" s="5">
        <f>(18000/3412)*'Residential Heat Pump Measure'!$D$36</f>
        <v>5275.4982415005861</v>
      </c>
      <c r="R38" s="11">
        <v>170</v>
      </c>
      <c r="S38" s="11">
        <v>62</v>
      </c>
      <c r="T38" s="5">
        <f t="shared" si="9"/>
        <v>927575.05940231436</v>
      </c>
      <c r="U38" s="12">
        <f t="shared" si="10"/>
        <v>-1156297.0282046753</v>
      </c>
    </row>
    <row r="39" spans="3:21">
      <c r="C39" s="24">
        <f t="shared" si="3"/>
        <v>2.0000000000000018E-2</v>
      </c>
      <c r="D39">
        <f t="shared" si="14"/>
        <v>15</v>
      </c>
      <c r="E39" s="13">
        <f t="shared" si="5"/>
        <v>2040</v>
      </c>
      <c r="F39" s="19">
        <f t="shared" si="15"/>
        <v>10.387101309060114</v>
      </c>
      <c r="G39" s="19">
        <f t="shared" si="4"/>
        <v>15.7132804902584</v>
      </c>
      <c r="H39" s="19">
        <f t="shared" si="6"/>
        <v>5.3261791811982864</v>
      </c>
      <c r="I39" s="30">
        <f>'Residential Heat Pump Measure'!$D$14*'Residential Heat Pump Measure'!$D$36</f>
        <v>84469.60000000002</v>
      </c>
      <c r="J39" s="2">
        <f t="shared" si="11"/>
        <v>0.74301472998851925</v>
      </c>
      <c r="K39" s="11">
        <f t="shared" si="12"/>
        <v>334282.49417350965</v>
      </c>
      <c r="L39" s="13">
        <f t="shared" si="7"/>
        <v>2040</v>
      </c>
      <c r="M39" s="2">
        <f t="shared" si="13"/>
        <v>0.73259354691289891</v>
      </c>
      <c r="N39" s="11">
        <v>97</v>
      </c>
      <c r="O39" s="4">
        <f>'GHG Impact Summary'!F18</f>
        <v>7878.077373974209</v>
      </c>
      <c r="P39" s="5">
        <f t="shared" si="8"/>
        <v>567792.17068665463</v>
      </c>
      <c r="Q39" s="5">
        <f>(18000/3412)*'Residential Heat Pump Measure'!$D$36</f>
        <v>5275.4982415005861</v>
      </c>
      <c r="R39" s="11">
        <v>173</v>
      </c>
      <c r="S39" s="11">
        <v>63</v>
      </c>
      <c r="T39" s="5">
        <f t="shared" si="9"/>
        <v>925066.40474537807</v>
      </c>
      <c r="U39" s="12">
        <f t="shared" si="10"/>
        <v>-1158576.0812585233</v>
      </c>
    </row>
    <row r="40" spans="3:21">
      <c r="K40" s="18">
        <f>SUM(K25:K39)</f>
        <v>6196318.0960119655</v>
      </c>
      <c r="L40" s="18"/>
      <c r="M40" s="18"/>
      <c r="P40" s="21">
        <f>SUM(P25:P39)</f>
        <v>8561403.1218341533</v>
      </c>
      <c r="Q40" s="21"/>
      <c r="R40" s="21"/>
      <c r="S40" s="21"/>
      <c r="T40" s="21">
        <f>SUM(T25:T39)</f>
        <v>12422879.201131143</v>
      </c>
      <c r="U40" s="18">
        <f>SUM(U25:U39)</f>
        <v>-14787964.226953331</v>
      </c>
    </row>
  </sheetData>
  <mergeCells count="2">
    <mergeCell ref="N20:T20"/>
    <mergeCell ref="C20:K20"/>
  </mergeCells>
  <hyperlinks>
    <hyperlink ref="F5" r:id="rId1" xr:uid="{9CE2A734-EB65-4A44-8AAD-461741699F43}"/>
    <hyperlink ref="F2" r:id="rId2" xr:uid="{3A2B2235-319A-4638-82CF-54919389677C}"/>
    <hyperlink ref="E14" r:id="rId3" xr:uid="{430C6B86-E491-43DE-BA76-CA335393E96C}"/>
    <hyperlink ref="F15" r:id="rId4" xr:uid="{8AF6EACC-C6FF-40F0-B751-1DC457092B01}"/>
  </hyperlinks>
  <pageMargins left="0.7" right="0.7" top="0.75" bottom="0.75" header="0.3" footer="0.3"/>
  <pageSetup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FF965-3FC5-4F00-9491-0B9C7D618F78}">
  <sheetPr>
    <tabColor theme="3" tint="0.749992370372631"/>
  </sheetPr>
  <dimension ref="B2:S40"/>
  <sheetViews>
    <sheetView zoomScale="80" zoomScaleNormal="80" workbookViewId="0">
      <selection activeCell="J11" sqref="J11"/>
    </sheetView>
  </sheetViews>
  <sheetFormatPr defaultRowHeight="14.45"/>
  <cols>
    <col min="2" max="2" width="26.5703125" customWidth="1"/>
    <col min="3" max="3" width="10" customWidth="1"/>
    <col min="4" max="4" width="23.42578125" customWidth="1"/>
    <col min="5" max="5" width="20.5703125" customWidth="1"/>
    <col min="6" max="6" width="10.140625" customWidth="1"/>
    <col min="7" max="7" width="12.5703125" customWidth="1"/>
    <col min="8" max="8" width="13.5703125" customWidth="1"/>
    <col min="9" max="9" width="13.85546875" bestFit="1" customWidth="1"/>
    <col min="10" max="10" width="15.140625" bestFit="1" customWidth="1"/>
    <col min="11" max="11" width="17.42578125" customWidth="1"/>
    <col min="13" max="13" width="14.42578125" customWidth="1"/>
    <col min="14" max="14" width="13.85546875" bestFit="1" customWidth="1"/>
    <col min="15" max="18" width="13.85546875" customWidth="1"/>
    <col min="19" max="19" width="17" customWidth="1"/>
  </cols>
  <sheetData>
    <row r="2" spans="2:6">
      <c r="B2" t="s">
        <v>314</v>
      </c>
      <c r="C2" s="28">
        <f>AVERAGE(0.9, 1.15)</f>
        <v>1.0249999999999999</v>
      </c>
      <c r="D2" t="s">
        <v>276</v>
      </c>
      <c r="E2" t="s">
        <v>330</v>
      </c>
      <c r="F2" s="25" t="s">
        <v>272</v>
      </c>
    </row>
    <row r="4" spans="2:6">
      <c r="B4" t="s">
        <v>279</v>
      </c>
      <c r="C4" s="16" t="s">
        <v>280</v>
      </c>
    </row>
    <row r="5" spans="2:6">
      <c r="C5" s="13">
        <v>2023</v>
      </c>
      <c r="D5" s="11">
        <v>65</v>
      </c>
      <c r="E5" t="s">
        <v>281</v>
      </c>
      <c r="F5" s="25" t="s">
        <v>282</v>
      </c>
    </row>
    <row r="6" spans="2:6">
      <c r="C6" s="13">
        <f>C5+1</f>
        <v>2024</v>
      </c>
      <c r="D6" s="12">
        <f t="shared" ref="D6:D12" si="0">D5+15</f>
        <v>80</v>
      </c>
    </row>
    <row r="7" spans="2:6">
      <c r="C7" s="13">
        <f t="shared" ref="C7:C12" si="1">C6+1</f>
        <v>2025</v>
      </c>
      <c r="D7" s="12">
        <f t="shared" si="0"/>
        <v>95</v>
      </c>
    </row>
    <row r="8" spans="2:6">
      <c r="C8" s="13">
        <f t="shared" si="1"/>
        <v>2026</v>
      </c>
      <c r="D8" s="12">
        <f t="shared" si="0"/>
        <v>110</v>
      </c>
    </row>
    <row r="9" spans="2:6">
      <c r="C9" s="13">
        <f t="shared" si="1"/>
        <v>2027</v>
      </c>
      <c r="D9" s="12">
        <f t="shared" si="0"/>
        <v>125</v>
      </c>
    </row>
    <row r="10" spans="2:6">
      <c r="C10" s="13">
        <f t="shared" si="1"/>
        <v>2028</v>
      </c>
      <c r="D10" s="12">
        <f t="shared" si="0"/>
        <v>140</v>
      </c>
    </row>
    <row r="11" spans="2:6">
      <c r="C11" s="13">
        <f t="shared" si="1"/>
        <v>2029</v>
      </c>
      <c r="D11" s="12">
        <f t="shared" si="0"/>
        <v>155</v>
      </c>
    </row>
    <row r="12" spans="2:6">
      <c r="C12" s="13">
        <f t="shared" si="1"/>
        <v>2030</v>
      </c>
      <c r="D12" s="12">
        <f t="shared" si="0"/>
        <v>170</v>
      </c>
    </row>
    <row r="14" spans="2:6">
      <c r="B14" t="s">
        <v>318</v>
      </c>
      <c r="C14">
        <v>5.75</v>
      </c>
      <c r="D14" t="s">
        <v>331</v>
      </c>
      <c r="E14" s="25" t="s">
        <v>226</v>
      </c>
    </row>
    <row r="15" spans="2:6">
      <c r="B15" t="s">
        <v>318</v>
      </c>
      <c r="C15" s="2">
        <v>1.5191545574636722</v>
      </c>
      <c r="D15" t="s">
        <v>332</v>
      </c>
      <c r="E15" t="s">
        <v>236</v>
      </c>
      <c r="F15" s="25" t="s">
        <v>237</v>
      </c>
    </row>
    <row r="17" spans="2:19">
      <c r="B17" t="s">
        <v>286</v>
      </c>
      <c r="D17" s="20">
        <v>4.0000000000000001E-3</v>
      </c>
      <c r="E17" t="s">
        <v>333</v>
      </c>
      <c r="F17" t="s">
        <v>322</v>
      </c>
    </row>
    <row r="20" spans="2:19">
      <c r="C20" s="211" t="s">
        <v>334</v>
      </c>
      <c r="D20" s="211"/>
      <c r="E20" s="211"/>
      <c r="F20" s="211"/>
      <c r="G20" s="211"/>
      <c r="H20" s="211"/>
      <c r="I20" s="211"/>
      <c r="J20" s="211"/>
      <c r="K20" s="211"/>
      <c r="L20" s="210" t="s">
        <v>42</v>
      </c>
      <c r="M20" s="210"/>
      <c r="N20" s="210"/>
      <c r="O20" s="27"/>
      <c r="P20" s="27"/>
      <c r="Q20" s="27"/>
      <c r="R20" s="27"/>
    </row>
    <row r="21" spans="2:19" ht="57.95">
      <c r="E21" s="16" t="s">
        <v>280</v>
      </c>
      <c r="F21" s="15" t="s">
        <v>335</v>
      </c>
      <c r="G21" s="15" t="s">
        <v>296</v>
      </c>
      <c r="H21" s="15" t="s">
        <v>297</v>
      </c>
      <c r="I21" s="15" t="s">
        <v>336</v>
      </c>
      <c r="J21" s="15" t="s">
        <v>299</v>
      </c>
      <c r="K21" s="15" t="s">
        <v>337</v>
      </c>
      <c r="L21" s="15" t="s">
        <v>301</v>
      </c>
      <c r="M21" s="15" t="s">
        <v>302</v>
      </c>
      <c r="N21" s="15" t="s">
        <v>328</v>
      </c>
      <c r="O21" s="15" t="s">
        <v>304</v>
      </c>
      <c r="P21" s="15" t="s">
        <v>305</v>
      </c>
      <c r="Q21" s="15" t="s">
        <v>306</v>
      </c>
      <c r="R21" s="15" t="s">
        <v>307</v>
      </c>
      <c r="S21" s="15" t="s">
        <v>106</v>
      </c>
    </row>
    <row r="22" spans="2:19">
      <c r="B22" t="s">
        <v>293</v>
      </c>
      <c r="D22" t="s">
        <v>338</v>
      </c>
      <c r="E22" s="13">
        <v>2023</v>
      </c>
      <c r="F22" s="10">
        <f>D5/(1000/$C$15)</f>
        <v>9.8745046235138689E-2</v>
      </c>
      <c r="G22" s="29">
        <f>C2</f>
        <v>1.0249999999999999</v>
      </c>
      <c r="H22" s="28">
        <f>G22-F22</f>
        <v>0.92625495376486122</v>
      </c>
      <c r="K22" s="11"/>
    </row>
    <row r="23" spans="2:19">
      <c r="B23" s="24">
        <f t="shared" ref="B23:B28" si="2">(F23/F22)-1</f>
        <v>0.23076923076923062</v>
      </c>
      <c r="E23" s="13">
        <f>E22+1</f>
        <v>2024</v>
      </c>
      <c r="F23" s="10">
        <f t="shared" ref="F23:F29" si="3">D6/(1000/$C$15)</f>
        <v>0.12153236459709377</v>
      </c>
      <c r="G23" s="19">
        <f t="shared" ref="G23:G39" si="4">G22+(G22*$D$17)+(F23-F22)</f>
        <v>1.051887318361955</v>
      </c>
      <c r="H23" s="19">
        <f>G23-F23</f>
        <v>0.93035495376486121</v>
      </c>
    </row>
    <row r="24" spans="2:19">
      <c r="B24" s="24">
        <f t="shared" si="2"/>
        <v>0.1875</v>
      </c>
      <c r="E24" s="13">
        <f t="shared" ref="E24:E39" si="5">E23+1</f>
        <v>2025</v>
      </c>
      <c r="F24" s="10">
        <f t="shared" si="3"/>
        <v>0.14431968295904885</v>
      </c>
      <c r="G24" s="19">
        <f t="shared" si="4"/>
        <v>1.0788821859973581</v>
      </c>
      <c r="H24" s="19">
        <f t="shared" ref="H24:H39" si="6">G24-F24</f>
        <v>0.93456250303830923</v>
      </c>
      <c r="I24" s="31"/>
    </row>
    <row r="25" spans="2:19">
      <c r="B25" s="24">
        <f t="shared" si="2"/>
        <v>0.15789473684210553</v>
      </c>
      <c r="D25">
        <v>1</v>
      </c>
      <c r="E25" s="13">
        <f t="shared" si="5"/>
        <v>2026</v>
      </c>
      <c r="F25" s="10">
        <f t="shared" si="3"/>
        <v>0.16710700132100395</v>
      </c>
      <c r="G25" s="19">
        <f t="shared" si="4"/>
        <v>1.1059850331033025</v>
      </c>
      <c r="H25" s="19">
        <f t="shared" si="6"/>
        <v>0.93887803178229856</v>
      </c>
      <c r="I25" s="30">
        <f>'Residential Heat Pump Measure'!$D$16*'Residential Heat Pump Measure'!$D$36</f>
        <v>3311376.4597821804</v>
      </c>
      <c r="J25" s="2">
        <f>1/(1+0.02)^D25</f>
        <v>0.98039215686274506</v>
      </c>
      <c r="K25" s="11">
        <f>H25*I25*J25</f>
        <v>3048018.2480887542</v>
      </c>
      <c r="L25" s="11">
        <v>74</v>
      </c>
      <c r="M25" s="4">
        <f>'GHG Impact Summary'!F4</f>
        <v>7878.077373974209</v>
      </c>
      <c r="N25" s="5">
        <f>J25*L25*M25</f>
        <v>571546.78987656021</v>
      </c>
      <c r="O25" s="5">
        <f>(18000/3412)*'Residential Heat Pump Measure'!$D$36</f>
        <v>5275.4982415005861</v>
      </c>
      <c r="P25" s="11">
        <v>67</v>
      </c>
      <c r="Q25" s="11">
        <v>48</v>
      </c>
      <c r="R25" s="5">
        <f t="shared" ref="R25:R39" si="7">(J25*O25*P25)+(J25*O25*Q25)</f>
        <v>594786.56644369347</v>
      </c>
      <c r="S25" s="12">
        <f t="shared" ref="S25:S39" si="8">K25-(N25+R25)</f>
        <v>1881684.8917685007</v>
      </c>
    </row>
    <row r="26" spans="2:19">
      <c r="B26" s="24">
        <f t="shared" si="2"/>
        <v>0.13636363636363624</v>
      </c>
      <c r="D26">
        <f>D25+1</f>
        <v>2</v>
      </c>
      <c r="E26" s="13">
        <f t="shared" si="5"/>
        <v>2027</v>
      </c>
      <c r="F26" s="10">
        <f t="shared" si="3"/>
        <v>0.18989431968295903</v>
      </c>
      <c r="G26" s="19">
        <f t="shared" si="4"/>
        <v>1.133196291597671</v>
      </c>
      <c r="H26" s="19">
        <f t="shared" si="6"/>
        <v>0.94330197191471199</v>
      </c>
      <c r="I26" s="30">
        <f>'Residential Heat Pump Measure'!$D$16*'Residential Heat Pump Measure'!$D$36</f>
        <v>3311376.4597821804</v>
      </c>
      <c r="J26" s="2">
        <f t="shared" ref="J26:J39" si="9">1/(1+0.02)^D26</f>
        <v>0.96116878123798544</v>
      </c>
      <c r="K26" s="11">
        <f t="shared" ref="K26:K39" si="10">H26*I26*J26</f>
        <v>3002333.6642296123</v>
      </c>
      <c r="L26" s="11">
        <v>75</v>
      </c>
      <c r="M26" s="4">
        <f>'GHG Impact Summary'!F5</f>
        <v>7878.077373974209</v>
      </c>
      <c r="N26" s="5">
        <f t="shared" ref="N26:N39" si="11">J26*L26*M26</f>
        <v>567912.15210310044</v>
      </c>
      <c r="O26" s="5">
        <f>(18000/3412)*'Residential Heat Pump Measure'!$D$36</f>
        <v>5275.4982415005861</v>
      </c>
      <c r="P26" s="11">
        <v>80</v>
      </c>
      <c r="Q26" s="11">
        <v>49</v>
      </c>
      <c r="R26" s="5">
        <f t="shared" si="7"/>
        <v>654113.10376160673</v>
      </c>
      <c r="S26" s="12">
        <f t="shared" si="8"/>
        <v>1780308.408364905</v>
      </c>
    </row>
    <row r="27" spans="2:19">
      <c r="B27" s="24">
        <f t="shared" si="2"/>
        <v>0.11999999999999988</v>
      </c>
      <c r="D27">
        <f t="shared" ref="D27:D39" si="12">D26+1</f>
        <v>3</v>
      </c>
      <c r="E27" s="13">
        <f t="shared" si="5"/>
        <v>2028</v>
      </c>
      <c r="F27" s="10">
        <f t="shared" si="3"/>
        <v>0.21268163804491411</v>
      </c>
      <c r="G27" s="19">
        <f t="shared" si="4"/>
        <v>1.1605163951260169</v>
      </c>
      <c r="H27" s="19">
        <f t="shared" si="6"/>
        <v>0.94783475708110276</v>
      </c>
      <c r="I27" s="30">
        <f>'Residential Heat Pump Measure'!$D$16*'Residential Heat Pump Measure'!$D$36</f>
        <v>3311376.4597821804</v>
      </c>
      <c r="J27" s="2">
        <f t="shared" si="9"/>
        <v>0.94232233454704462</v>
      </c>
      <c r="K27" s="11">
        <f t="shared" si="10"/>
        <v>2957608.4069868727</v>
      </c>
      <c r="L27" s="11">
        <v>77</v>
      </c>
      <c r="M27" s="4">
        <f>'GHG Impact Summary'!F6</f>
        <v>7878.077373974209</v>
      </c>
      <c r="N27" s="5">
        <f t="shared" si="11"/>
        <v>571623.99623449333</v>
      </c>
      <c r="O27" s="5">
        <f>(18000/3412)*'Residential Heat Pump Measure'!$D$36</f>
        <v>5275.4982415005861</v>
      </c>
      <c r="P27" s="11">
        <v>91</v>
      </c>
      <c r="Q27" s="11">
        <v>50</v>
      </c>
      <c r="R27" s="5">
        <f t="shared" si="7"/>
        <v>700941.99445498211</v>
      </c>
      <c r="S27" s="12">
        <f t="shared" si="8"/>
        <v>1685042.4162973971</v>
      </c>
    </row>
    <row r="28" spans="2:19">
      <c r="B28" s="24">
        <f t="shared" si="2"/>
        <v>0.10714285714285721</v>
      </c>
      <c r="D28">
        <f t="shared" si="12"/>
        <v>4</v>
      </c>
      <c r="E28" s="13">
        <f t="shared" si="5"/>
        <v>2029</v>
      </c>
      <c r="F28" s="10">
        <f t="shared" si="3"/>
        <v>0.23546895640686918</v>
      </c>
      <c r="G28" s="19">
        <f t="shared" si="4"/>
        <v>1.1879457790684762</v>
      </c>
      <c r="H28" s="19">
        <f t="shared" si="6"/>
        <v>0.95247682266160705</v>
      </c>
      <c r="I28" s="30">
        <f>'Residential Heat Pump Measure'!$D$16*'Residential Heat Pump Measure'!$D$36</f>
        <v>3311376.4597821804</v>
      </c>
      <c r="J28" s="2">
        <f t="shared" si="9"/>
        <v>0.9238454260265142</v>
      </c>
      <c r="K28" s="11">
        <f t="shared" si="10"/>
        <v>2913817.092287587</v>
      </c>
      <c r="L28" s="11">
        <v>78</v>
      </c>
      <c r="M28" s="4">
        <f>'GHG Impact Summary'!F7</f>
        <v>7878.077373974209</v>
      </c>
      <c r="N28" s="5">
        <f t="shared" si="11"/>
        <v>567693.80833066558</v>
      </c>
      <c r="O28" s="5">
        <f>(18000/3412)*'Residential Heat Pump Measure'!$D$36</f>
        <v>5275.4982415005861</v>
      </c>
      <c r="P28" s="11">
        <v>102</v>
      </c>
      <c r="Q28" s="11">
        <v>51</v>
      </c>
      <c r="R28" s="5">
        <f t="shared" si="7"/>
        <v>745682.97282444895</v>
      </c>
      <c r="S28" s="12">
        <f t="shared" si="8"/>
        <v>1600440.3111324725</v>
      </c>
    </row>
    <row r="29" spans="2:19">
      <c r="B29" s="24">
        <f>(F29/F28)-1</f>
        <v>9.6774193548387233E-2</v>
      </c>
      <c r="D29">
        <f t="shared" si="12"/>
        <v>5</v>
      </c>
      <c r="E29" s="13">
        <f t="shared" si="5"/>
        <v>2030</v>
      </c>
      <c r="F29" s="10">
        <f t="shared" si="3"/>
        <v>0.25825627476882429</v>
      </c>
      <c r="G29" s="19">
        <f t="shared" si="4"/>
        <v>1.2154848805467053</v>
      </c>
      <c r="H29" s="19">
        <f t="shared" si="6"/>
        <v>0.95722860577788105</v>
      </c>
      <c r="I29" s="30">
        <f>'Residential Heat Pump Measure'!$D$16*'Residential Heat Pump Measure'!$D$36</f>
        <v>3311376.4597821804</v>
      </c>
      <c r="J29" s="2">
        <f t="shared" si="9"/>
        <v>0.90573080982991594</v>
      </c>
      <c r="K29" s="11">
        <f t="shared" si="10"/>
        <v>2870935.0462538614</v>
      </c>
      <c r="L29" s="11">
        <v>80</v>
      </c>
      <c r="M29" s="4">
        <f>'GHG Impact Summary'!F8</f>
        <v>7878.077373974209</v>
      </c>
      <c r="N29" s="5">
        <f t="shared" si="11"/>
        <v>570833.39198659186</v>
      </c>
      <c r="O29" s="5">
        <f>(18000/3412)*'Residential Heat Pump Measure'!$D$36</f>
        <v>5275.4982415005861</v>
      </c>
      <c r="P29" s="11">
        <v>112</v>
      </c>
      <c r="Q29" s="11">
        <v>52</v>
      </c>
      <c r="R29" s="5">
        <f t="shared" si="7"/>
        <v>783621.73230302229</v>
      </c>
      <c r="S29" s="12">
        <f t="shared" si="8"/>
        <v>1516479.9219642472</v>
      </c>
    </row>
    <row r="30" spans="2:19">
      <c r="B30" s="24">
        <f t="shared" ref="B30:B39" si="13">(F30/F29)-1</f>
        <v>2.0000000000000018E-2</v>
      </c>
      <c r="D30">
        <f t="shared" si="12"/>
        <v>6</v>
      </c>
      <c r="E30" s="13">
        <f t="shared" si="5"/>
        <v>2031</v>
      </c>
      <c r="F30" s="19">
        <f>F29*1.02</f>
        <v>0.2634214002642008</v>
      </c>
      <c r="G30" s="19">
        <f t="shared" si="4"/>
        <v>1.2255119455642687</v>
      </c>
      <c r="H30" s="19">
        <f t="shared" si="6"/>
        <v>0.96209054530006788</v>
      </c>
      <c r="I30" s="30">
        <f>'Residential Heat Pump Measure'!$D$16*'Residential Heat Pump Measure'!$D$36</f>
        <v>3311376.4597821804</v>
      </c>
      <c r="J30" s="2">
        <f t="shared" si="9"/>
        <v>0.88797138218619198</v>
      </c>
      <c r="K30" s="11">
        <f t="shared" si="10"/>
        <v>2828938.2858005017</v>
      </c>
      <c r="L30" s="11">
        <v>82</v>
      </c>
      <c r="M30" s="4">
        <f>'GHG Impact Summary'!F9</f>
        <v>7878.077373974209</v>
      </c>
      <c r="N30" s="5">
        <f t="shared" si="11"/>
        <v>573631.59488848678</v>
      </c>
      <c r="O30" s="5">
        <f>(18000/3412)*'Residential Heat Pump Measure'!$D$36</f>
        <v>5275.4982415005861</v>
      </c>
      <c r="P30" s="11">
        <v>122</v>
      </c>
      <c r="Q30" s="11">
        <v>53</v>
      </c>
      <c r="R30" s="5">
        <f t="shared" si="7"/>
        <v>819786.00641456759</v>
      </c>
      <c r="S30" s="12">
        <f t="shared" si="8"/>
        <v>1435520.6844974472</v>
      </c>
    </row>
    <row r="31" spans="2:19">
      <c r="B31" s="24">
        <f t="shared" si="13"/>
        <v>2.0000000000000018E-2</v>
      </c>
      <c r="D31">
        <f t="shared" si="12"/>
        <v>7</v>
      </c>
      <c r="E31" s="13">
        <f t="shared" si="5"/>
        <v>2032</v>
      </c>
      <c r="F31" s="19">
        <f t="shared" ref="F31:F39" si="14">F30*1.02</f>
        <v>0.26868982826948484</v>
      </c>
      <c r="G31" s="19">
        <f t="shared" si="4"/>
        <v>1.2356824213518096</v>
      </c>
      <c r="H31" s="19">
        <f t="shared" si="6"/>
        <v>0.96699259308232477</v>
      </c>
      <c r="I31" s="30">
        <f>'Residential Heat Pump Measure'!$D$16*'Residential Heat Pump Measure'!$D$36</f>
        <v>3311376.4597821804</v>
      </c>
      <c r="J31" s="2">
        <f t="shared" si="9"/>
        <v>0.87056017861391388</v>
      </c>
      <c r="K31" s="11">
        <f t="shared" si="10"/>
        <v>2787600.2980601364</v>
      </c>
      <c r="L31" s="11">
        <v>83</v>
      </c>
      <c r="M31" s="4">
        <f>'GHG Impact Summary'!F10</f>
        <v>7878.077373974209</v>
      </c>
      <c r="N31" s="5">
        <f t="shared" si="11"/>
        <v>569242.25700316136</v>
      </c>
      <c r="O31" s="5">
        <f>(18000/3412)*'Residential Heat Pump Measure'!$D$36</f>
        <v>5275.4982415005861</v>
      </c>
      <c r="P31" s="11">
        <v>130</v>
      </c>
      <c r="Q31" s="11">
        <v>54</v>
      </c>
      <c r="R31" s="5">
        <f t="shared" si="7"/>
        <v>845045.5192172575</v>
      </c>
      <c r="S31" s="12">
        <f t="shared" si="8"/>
        <v>1373312.5218397174</v>
      </c>
    </row>
    <row r="32" spans="2:19">
      <c r="B32" s="24">
        <f t="shared" si="13"/>
        <v>2.0000000000000018E-2</v>
      </c>
      <c r="D32">
        <f t="shared" si="12"/>
        <v>8</v>
      </c>
      <c r="E32" s="13">
        <f t="shared" si="5"/>
        <v>2033</v>
      </c>
      <c r="F32" s="19">
        <f t="shared" si="14"/>
        <v>0.27406362483487456</v>
      </c>
      <c r="G32" s="19">
        <f t="shared" si="4"/>
        <v>1.2459989476026065</v>
      </c>
      <c r="H32" s="19">
        <f t="shared" si="6"/>
        <v>0.97193532276773198</v>
      </c>
      <c r="I32" s="30">
        <f>'Residential Heat Pump Measure'!$D$16*'Residential Heat Pump Measure'!$D$36</f>
        <v>3311376.4597821804</v>
      </c>
      <c r="J32" s="2">
        <f t="shared" si="9"/>
        <v>0.85349037119011162</v>
      </c>
      <c r="K32" s="11">
        <f t="shared" si="10"/>
        <v>2746910.7493431489</v>
      </c>
      <c r="L32" s="11">
        <v>85</v>
      </c>
      <c r="M32" s="4">
        <f>'GHG Impact Summary'!F11</f>
        <v>7878.077373974209</v>
      </c>
      <c r="N32" s="5">
        <f t="shared" si="11"/>
        <v>571528.37048510183</v>
      </c>
      <c r="O32" s="5">
        <f>(18000/3412)*'Residential Heat Pump Measure'!$D$36</f>
        <v>5275.4982415005861</v>
      </c>
      <c r="P32" s="11">
        <v>138</v>
      </c>
      <c r="Q32" s="11">
        <v>55</v>
      </c>
      <c r="R32" s="5">
        <f t="shared" si="7"/>
        <v>868999.28180376545</v>
      </c>
      <c r="S32" s="12">
        <f t="shared" si="8"/>
        <v>1306383.0970542817</v>
      </c>
    </row>
    <row r="33" spans="2:19">
      <c r="B33" s="24">
        <f t="shared" si="13"/>
        <v>2.0000000000000018E-2</v>
      </c>
      <c r="D33">
        <f t="shared" si="12"/>
        <v>9</v>
      </c>
      <c r="E33" s="13">
        <f t="shared" si="5"/>
        <v>2034</v>
      </c>
      <c r="F33" s="19">
        <f t="shared" si="14"/>
        <v>0.27954489733157206</v>
      </c>
      <c r="G33" s="19">
        <f t="shared" si="4"/>
        <v>1.2564642158897146</v>
      </c>
      <c r="H33" s="19">
        <f t="shared" si="6"/>
        <v>0.97691931855814251</v>
      </c>
      <c r="I33" s="30">
        <f>'Residential Heat Pump Measure'!$D$16*'Residential Heat Pump Measure'!$D$36</f>
        <v>3311376.4597821804</v>
      </c>
      <c r="J33" s="2">
        <f t="shared" si="9"/>
        <v>0.83675526587265847</v>
      </c>
      <c r="K33" s="11">
        <f t="shared" si="10"/>
        <v>2706859.4680570168</v>
      </c>
      <c r="L33" s="11">
        <v>87</v>
      </c>
      <c r="M33" s="4">
        <f>'GHG Impact Summary'!F12</f>
        <v>7878.077373974209</v>
      </c>
      <c r="N33" s="5">
        <f t="shared" si="11"/>
        <v>573505.97730338934</v>
      </c>
      <c r="O33" s="5">
        <f>(18000/3412)*'Residential Heat Pump Measure'!$D$36</f>
        <v>5275.4982415005861</v>
      </c>
      <c r="P33" s="11">
        <v>145</v>
      </c>
      <c r="Q33" s="11">
        <v>56</v>
      </c>
      <c r="R33" s="5">
        <f t="shared" si="7"/>
        <v>887274.48766919062</v>
      </c>
      <c r="S33" s="12">
        <f t="shared" si="8"/>
        <v>1246079.003084437</v>
      </c>
    </row>
    <row r="34" spans="2:19">
      <c r="B34" s="24">
        <f t="shared" si="13"/>
        <v>2.0000000000000018E-2</v>
      </c>
      <c r="D34">
        <f t="shared" si="12"/>
        <v>10</v>
      </c>
      <c r="E34" s="13">
        <f t="shared" si="5"/>
        <v>2035</v>
      </c>
      <c r="F34" s="19">
        <f t="shared" si="14"/>
        <v>0.28513579527820349</v>
      </c>
      <c r="G34" s="19">
        <f t="shared" si="4"/>
        <v>1.2670809706999049</v>
      </c>
      <c r="H34" s="19">
        <f t="shared" si="6"/>
        <v>0.98194517542170145</v>
      </c>
      <c r="I34" s="30">
        <f>'Residential Heat Pump Measure'!$D$16*'Residential Heat Pump Measure'!$D$36</f>
        <v>3311376.4597821804</v>
      </c>
      <c r="J34" s="2">
        <f t="shared" si="9"/>
        <v>0.82034829987515534</v>
      </c>
      <c r="K34" s="11">
        <f t="shared" si="10"/>
        <v>2667436.442163608</v>
      </c>
      <c r="L34" s="11">
        <v>88</v>
      </c>
      <c r="M34" s="4">
        <f>'GHG Impact Summary'!F13</f>
        <v>7878.077373974209</v>
      </c>
      <c r="N34" s="5">
        <f t="shared" si="11"/>
        <v>568723.52944217098</v>
      </c>
      <c r="O34" s="5">
        <f>(18000/3412)*'Residential Heat Pump Measure'!$D$36</f>
        <v>5275.4982415005861</v>
      </c>
      <c r="P34" s="11">
        <v>152</v>
      </c>
      <c r="Q34" s="11">
        <v>57</v>
      </c>
      <c r="R34" s="5">
        <f t="shared" si="7"/>
        <v>904498.91680255975</v>
      </c>
      <c r="S34" s="12">
        <f t="shared" si="8"/>
        <v>1194213.9959188774</v>
      </c>
    </row>
    <row r="35" spans="2:19">
      <c r="B35" s="24">
        <f t="shared" si="13"/>
        <v>2.0000000000000018E-2</v>
      </c>
      <c r="D35">
        <f t="shared" si="12"/>
        <v>11</v>
      </c>
      <c r="E35" s="13">
        <f t="shared" si="5"/>
        <v>2036</v>
      </c>
      <c r="F35" s="19">
        <f t="shared" si="14"/>
        <v>0.29083851118376758</v>
      </c>
      <c r="G35" s="19">
        <f t="shared" si="4"/>
        <v>1.2778520104882685</v>
      </c>
      <c r="H35" s="19">
        <f t="shared" si="6"/>
        <v>0.98701349930450089</v>
      </c>
      <c r="I35" s="30">
        <f>'Residential Heat Pump Measure'!$D$16*'Residential Heat Pump Measure'!$D$36</f>
        <v>3311376.4597821804</v>
      </c>
      <c r="J35" s="2">
        <f t="shared" si="9"/>
        <v>0.80426303909328967</v>
      </c>
      <c r="K35" s="11">
        <f t="shared" si="10"/>
        <v>2628631.8166763703</v>
      </c>
      <c r="L35" s="11">
        <v>90</v>
      </c>
      <c r="M35" s="4">
        <f>'GHG Impact Summary'!F14</f>
        <v>7878.077373974209</v>
      </c>
      <c r="N35" s="5">
        <f t="shared" si="11"/>
        <v>570244.18059041211</v>
      </c>
      <c r="O35" s="5">
        <f>(18000/3412)*'Residential Heat Pump Measure'!$D$36</f>
        <v>5275.4982415005861</v>
      </c>
      <c r="P35" s="11">
        <v>157</v>
      </c>
      <c r="Q35" s="11">
        <v>58</v>
      </c>
      <c r="R35" s="5">
        <f t="shared" si="7"/>
        <v>912220.9734147219</v>
      </c>
      <c r="S35" s="12">
        <f t="shared" si="8"/>
        <v>1146166.6626712363</v>
      </c>
    </row>
    <row r="36" spans="2:19">
      <c r="B36" s="24">
        <f t="shared" si="13"/>
        <v>2.0000000000000018E-2</v>
      </c>
      <c r="D36">
        <f t="shared" si="12"/>
        <v>12</v>
      </c>
      <c r="E36" s="13">
        <f t="shared" si="5"/>
        <v>2037</v>
      </c>
      <c r="F36" s="19">
        <f t="shared" si="14"/>
        <v>0.29665528140744296</v>
      </c>
      <c r="G36" s="19">
        <f t="shared" si="4"/>
        <v>1.2887801887538968</v>
      </c>
      <c r="H36" s="19">
        <f t="shared" si="6"/>
        <v>0.99212490734645375</v>
      </c>
      <c r="I36" s="30">
        <f>'Residential Heat Pump Measure'!$D$16*'Residential Heat Pump Measure'!$D$36</f>
        <v>3311376.4597821804</v>
      </c>
      <c r="J36" s="2">
        <f t="shared" si="9"/>
        <v>0.78849317558165644</v>
      </c>
      <c r="K36" s="11">
        <f t="shared" si="10"/>
        <v>2590435.8911967748</v>
      </c>
      <c r="L36" s="11">
        <v>92</v>
      </c>
      <c r="M36" s="4">
        <f>'GHG Impact Summary'!F15</f>
        <v>7878.077373974209</v>
      </c>
      <c r="N36" s="5">
        <f t="shared" si="11"/>
        <v>571486.54263962875</v>
      </c>
      <c r="O36" s="5">
        <f>(18000/3412)*'Residential Heat Pump Measure'!$D$36</f>
        <v>5275.4982415005861</v>
      </c>
      <c r="P36" s="11">
        <v>162</v>
      </c>
      <c r="Q36" s="11">
        <v>60</v>
      </c>
      <c r="R36" s="5">
        <f t="shared" si="7"/>
        <v>923452.14819000557</v>
      </c>
      <c r="S36" s="12">
        <f t="shared" si="8"/>
        <v>1095497.2003671406</v>
      </c>
    </row>
    <row r="37" spans="2:19">
      <c r="B37" s="24">
        <f t="shared" si="13"/>
        <v>2.0000000000000018E-2</v>
      </c>
      <c r="D37">
        <f t="shared" si="12"/>
        <v>13</v>
      </c>
      <c r="E37" s="13">
        <f t="shared" si="5"/>
        <v>2038</v>
      </c>
      <c r="F37" s="19">
        <f t="shared" si="14"/>
        <v>0.30258838703559182</v>
      </c>
      <c r="G37" s="19">
        <f t="shared" si="4"/>
        <v>1.2998684151370612</v>
      </c>
      <c r="H37" s="19">
        <f t="shared" si="6"/>
        <v>0.99728002810146932</v>
      </c>
      <c r="I37" s="30">
        <f>'Residential Heat Pump Measure'!$D$16*'Residential Heat Pump Measure'!$D$36</f>
        <v>3311376.4597821804</v>
      </c>
      <c r="J37" s="2">
        <f t="shared" si="9"/>
        <v>0.77303252508005538</v>
      </c>
      <c r="K37" s="11">
        <f t="shared" si="10"/>
        <v>2552839.1174894092</v>
      </c>
      <c r="L37" s="11">
        <v>94</v>
      </c>
      <c r="M37" s="4">
        <f>'GHG Impact Summary'!F16</f>
        <v>7878.077373974209</v>
      </c>
      <c r="N37" s="5">
        <f t="shared" si="11"/>
        <v>572460.94424685743</v>
      </c>
      <c r="O37" s="5">
        <f>(18000/3412)*'Residential Heat Pump Measure'!$D$36</f>
        <v>5275.4982415005861</v>
      </c>
      <c r="P37" s="11">
        <v>167</v>
      </c>
      <c r="Q37" s="11">
        <v>61</v>
      </c>
      <c r="R37" s="5">
        <f t="shared" si="7"/>
        <v>929814.0336836304</v>
      </c>
      <c r="S37" s="12">
        <f t="shared" si="8"/>
        <v>1050564.1395589213</v>
      </c>
    </row>
    <row r="38" spans="2:19">
      <c r="B38" s="24">
        <f t="shared" si="13"/>
        <v>2.0000000000000018E-2</v>
      </c>
      <c r="D38">
        <f t="shared" si="12"/>
        <v>14</v>
      </c>
      <c r="E38" s="13">
        <f t="shared" si="5"/>
        <v>2039</v>
      </c>
      <c r="F38" s="19">
        <f t="shared" si="14"/>
        <v>0.30864015477630369</v>
      </c>
      <c r="G38" s="19">
        <f t="shared" si="4"/>
        <v>1.3111196565383214</v>
      </c>
      <c r="H38" s="19">
        <f t="shared" si="6"/>
        <v>1.0024795017620178</v>
      </c>
      <c r="I38" s="30">
        <f>'Residential Heat Pump Measure'!$D$16*'Residential Heat Pump Measure'!$D$36</f>
        <v>3311376.4597821804</v>
      </c>
      <c r="J38" s="2">
        <f t="shared" si="9"/>
        <v>0.75787502458828948</v>
      </c>
      <c r="K38" s="11">
        <f t="shared" si="10"/>
        <v>2515832.0970951002</v>
      </c>
      <c r="L38" s="11">
        <v>96</v>
      </c>
      <c r="M38" s="4">
        <f>'GHG Impact Summary'!F17</f>
        <v>7878.077373974209</v>
      </c>
      <c r="N38" s="5">
        <f t="shared" si="11"/>
        <v>573177.41601687844</v>
      </c>
      <c r="O38" s="5">
        <f>(18000/3412)*'Residential Heat Pump Measure'!$D$36</f>
        <v>5275.4982415005861</v>
      </c>
      <c r="P38" s="11">
        <v>170</v>
      </c>
      <c r="Q38" s="11">
        <v>62</v>
      </c>
      <c r="R38" s="5">
        <f t="shared" si="7"/>
        <v>927575.05940231436</v>
      </c>
      <c r="S38" s="12">
        <f t="shared" si="8"/>
        <v>1015079.6216759074</v>
      </c>
    </row>
    <row r="39" spans="2:19">
      <c r="B39" s="24">
        <f t="shared" si="13"/>
        <v>2.0000000000000018E-2</v>
      </c>
      <c r="D39">
        <f t="shared" si="12"/>
        <v>15</v>
      </c>
      <c r="E39" s="13">
        <f t="shared" si="5"/>
        <v>2040</v>
      </c>
      <c r="F39" s="19">
        <f t="shared" si="14"/>
        <v>0.31481295787182978</v>
      </c>
      <c r="G39" s="19">
        <f t="shared" si="4"/>
        <v>1.3225369382600007</v>
      </c>
      <c r="H39" s="19">
        <f t="shared" si="6"/>
        <v>1.007723980388171</v>
      </c>
      <c r="I39" s="30">
        <f>'Residential Heat Pump Measure'!$D$16*'Residential Heat Pump Measure'!$D$36</f>
        <v>3311376.4597821804</v>
      </c>
      <c r="J39" s="2">
        <f t="shared" si="9"/>
        <v>0.74301472998851925</v>
      </c>
      <c r="K39" s="11">
        <f t="shared" si="10"/>
        <v>2479405.5789814866</v>
      </c>
      <c r="L39" s="11">
        <v>97</v>
      </c>
      <c r="M39" s="4">
        <f>'GHG Impact Summary'!F18</f>
        <v>7878.077373974209</v>
      </c>
      <c r="N39" s="5">
        <f t="shared" si="11"/>
        <v>567792.17068665463</v>
      </c>
      <c r="O39" s="5">
        <f>(18000/3412)*'Residential Heat Pump Measure'!$D$36</f>
        <v>5275.4982415005861</v>
      </c>
      <c r="P39" s="11">
        <v>173</v>
      </c>
      <c r="Q39" s="11">
        <v>63</v>
      </c>
      <c r="R39" s="5">
        <f t="shared" si="7"/>
        <v>925066.40474537807</v>
      </c>
      <c r="S39" s="12">
        <f t="shared" si="8"/>
        <v>986547.0035494538</v>
      </c>
    </row>
    <row r="40" spans="2:19">
      <c r="K40" s="18">
        <f>SUM(K25:K39)</f>
        <v>41297602.202710249</v>
      </c>
      <c r="N40" s="21">
        <f>SUM(N25:N39)</f>
        <v>8561403.1218341533</v>
      </c>
      <c r="O40" s="21"/>
      <c r="P40" s="21"/>
      <c r="Q40" s="21"/>
      <c r="R40" s="21">
        <f>SUM(R25:R39)</f>
        <v>12422879.201131143</v>
      </c>
      <c r="S40" s="18">
        <f>SUM(S25:S39)</f>
        <v>20313319.879744943</v>
      </c>
    </row>
  </sheetData>
  <mergeCells count="2">
    <mergeCell ref="L20:N20"/>
    <mergeCell ref="C20:K20"/>
  </mergeCells>
  <hyperlinks>
    <hyperlink ref="F5" r:id="rId1" xr:uid="{44A6F81B-5DF9-4300-82B7-EBF3F7C262CD}"/>
    <hyperlink ref="F2" r:id="rId2" xr:uid="{B7A6070B-294F-4697-BCF3-BB8226FFFE14}"/>
    <hyperlink ref="E14" r:id="rId3" xr:uid="{33352496-5FED-492D-9791-EDBB59C48584}"/>
    <hyperlink ref="F15" r:id="rId4" xr:uid="{CC91CA5C-7B2D-41F7-B899-212E2D7C1823}"/>
  </hyperlinks>
  <pageMargins left="0.7" right="0.7" top="0.75" bottom="0.75" header="0.3" footer="0.3"/>
  <pageSetup orientation="portrait" r:id="rId5"/>
</worksheet>
</file>

<file path=customXML/item4.xml><?xml version="1.0" encoding="utf-8"?>
<properties xmlns="http://www.imanage.com/work/xmlschema">
  <documentid>Active!47341978.1</documentid>
  <senderid>JANET.MACNEIL</senderid>
  <senderemail>JANET.MACNEIL@MCINNESCOOPER.COM</senderemail>
  <lastmodified>2025-07-04T11:56:43.0000000-03:00</lastmodified>
  <database>Active</database>
</properties>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C2315D2C6BBB4F891B1BA8CE0B4752" ma:contentTypeVersion="3" ma:contentTypeDescription="Create a new document." ma:contentTypeScope="" ma:versionID="8835f68fd365533ffe2c487c0add2a57">
  <xsd:schema xmlns:xsd="http://www.w3.org/2001/XMLSchema" xmlns:xs="http://www.w3.org/2001/XMLSchema" xmlns:p="http://schemas.microsoft.com/office/2006/metadata/properties" xmlns:ns2="35e88df1-d3ee-4e5a-a89c-ef7560d1f544" targetNamespace="http://schemas.microsoft.com/office/2006/metadata/properties" ma:root="true" ma:fieldsID="70cb5f2f56cda7b5bb8a057c552022ce" ns2:_="">
    <xsd:import namespace="35e88df1-d3ee-4e5a-a89c-ef7560d1f5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88df1-d3ee-4e5a-a89c-ef7560d1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423D63-F105-411D-AE40-5701A603614B}"/>
</file>

<file path=customXml/itemProps2.xml><?xml version="1.0" encoding="utf-8"?>
<ds:datastoreItem xmlns:ds="http://schemas.openxmlformats.org/officeDocument/2006/customXml" ds:itemID="{1D711D5E-8841-4359-B5F6-F3625D5382E1}"/>
</file>

<file path=customXml/itemProps3.xml><?xml version="1.0" encoding="utf-8"?>
<ds:datastoreItem xmlns:ds="http://schemas.openxmlformats.org/officeDocument/2006/customXml" ds:itemID="{0591EB9E-D349-4DDB-83C7-4FD55D0DF608}"/>
</file>

<file path=docMetadata/LabelInfo.xml><?xml version="1.0" encoding="utf-8"?>
<clbl:labelList xmlns:clbl="http://schemas.microsoft.com/office/2020/mipLabelMetadata">
  <clbl:label id="{9c595ce0-e581-4de7-a72e-6fa1a3ec4e33}" enabled="1" method="Privileged" siteId="{c3b34c92-3914-4bb2-9fa7-b27b9c0d608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Jean Grant</cp:lastModifiedBy>
  <cp:revision/>
  <dcterms:created xsi:type="dcterms:W3CDTF">2025-07-04T12:32:37Z</dcterms:created>
  <dcterms:modified xsi:type="dcterms:W3CDTF">2025-07-04T14:56:43Z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0x0101005AC2315D2C6BBB4F891B1BA8CE0B4752</vt:lpwstr>
  </property>
</Properties>
</file>