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80C647E0-951D-44B0-948F-E43CB275A74A}" xr6:coauthVersionLast="47" xr6:coauthVersionMax="47" xr10:uidLastSave="{00000000-0000-0000-0000-000000000000}"/>
  <bookViews>
    <workbookView xWindow="-28920" yWindow="1650" windowWidth="29040" windowHeight="15720" xr2:uid="{FD489DEA-35C0-4C58-9B6F-8AEA01E3BB9D}"/>
  </bookViews>
  <sheets>
    <sheet name="2026-2027 GRA Opt-out Model" sheetId="1" r:id="rId1"/>
  </sheets>
  <definedNames>
    <definedName name="_xlnm.Print_Area" localSheetId="0">'2026-2027 GRA Opt-out Model'!$A$1:$M$54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5" i="1" l="1"/>
  <c r="L25" i="1"/>
  <c r="K25" i="1"/>
  <c r="K28" i="1" s="1"/>
  <c r="K29" i="1" s="1"/>
  <c r="J25" i="1"/>
  <c r="H25" i="1"/>
  <c r="H28" i="1" s="1"/>
  <c r="H29" i="1" s="1"/>
  <c r="M24" i="1"/>
  <c r="L24" i="1"/>
  <c r="K24" i="1"/>
  <c r="J24" i="1"/>
  <c r="H24" i="1"/>
  <c r="H20" i="1"/>
  <c r="H41" i="1"/>
  <c r="H40" i="1"/>
  <c r="H39" i="1"/>
  <c r="H37" i="1"/>
  <c r="M35" i="1"/>
  <c r="M42" i="1" s="1"/>
  <c r="M48" i="1" s="1"/>
  <c r="M46" i="1" s="1"/>
  <c r="L35" i="1"/>
  <c r="L42" i="1" s="1"/>
  <c r="L48" i="1" s="1"/>
  <c r="L46" i="1" s="1"/>
  <c r="K35" i="1"/>
  <c r="K42" i="1" s="1"/>
  <c r="H34" i="1"/>
  <c r="H35" i="1" s="1"/>
  <c r="H42" i="1" s="1"/>
  <c r="H33" i="1"/>
  <c r="J17" i="1"/>
  <c r="H17" i="1"/>
  <c r="J16" i="1"/>
  <c r="K16" i="1" s="1"/>
  <c r="L12" i="1"/>
  <c r="M11" i="1"/>
  <c r="L11" i="1"/>
  <c r="K11" i="1"/>
  <c r="J11" i="1"/>
  <c r="J12" i="1" s="1"/>
  <c r="H11" i="1"/>
  <c r="F11" i="1"/>
  <c r="M10" i="1"/>
  <c r="M12" i="1" s="1"/>
  <c r="L10" i="1"/>
  <c r="K10" i="1"/>
  <c r="K12" i="1" s="1"/>
  <c r="J10" i="1"/>
  <c r="H10" i="1"/>
  <c r="H12" i="1" s="1"/>
  <c r="F10" i="1"/>
  <c r="M7" i="1"/>
  <c r="L7" i="1"/>
  <c r="K7" i="1"/>
  <c r="J7" i="1"/>
  <c r="H7" i="1"/>
  <c r="G6" i="1"/>
  <c r="G5" i="1"/>
  <c r="F5" i="1"/>
  <c r="C46" i="1"/>
  <c r="C45" i="1"/>
  <c r="C49" i="1" s="1"/>
  <c r="C34" i="1"/>
  <c r="C30" i="1"/>
  <c r="C11" i="1"/>
  <c r="C10" i="1"/>
  <c r="C12" i="1" s="1"/>
  <c r="C7" i="1"/>
  <c r="M28" i="1" l="1"/>
  <c r="M29" i="1" s="1"/>
  <c r="L28" i="1"/>
  <c r="L29" i="1" s="1"/>
  <c r="J28" i="1"/>
  <c r="J29" i="1" s="1"/>
  <c r="K17" i="1"/>
  <c r="L16" i="1"/>
  <c r="M16" i="1" l="1"/>
  <c r="M17" i="1" s="1"/>
  <c r="L17" i="1"/>
</calcChain>
</file>

<file path=xl/sharedStrings.xml><?xml version="1.0" encoding="utf-8"?>
<sst xmlns="http://schemas.openxmlformats.org/spreadsheetml/2006/main" count="89" uniqueCount="80">
  <si>
    <t xml:space="preserve">Baseline Data </t>
  </si>
  <si>
    <t>Opt-out Percentage</t>
  </si>
  <si>
    <t>End of 2024</t>
  </si>
  <si>
    <t>End of 2025</t>
  </si>
  <si>
    <t>End of 2026</t>
  </si>
  <si>
    <t>End of 2027</t>
  </si>
  <si>
    <t>NS Power Customers</t>
  </si>
  <si>
    <t>Customers</t>
  </si>
  <si>
    <t>Meter Reads</t>
  </si>
  <si>
    <t>Opt-out Customers</t>
  </si>
  <si>
    <t>Bi-monthly read customers</t>
  </si>
  <si>
    <t>Bi-Monthly</t>
  </si>
  <si>
    <t>Monthly read customers</t>
  </si>
  <si>
    <t>Monthly</t>
  </si>
  <si>
    <t xml:space="preserve">TOTAL Customers </t>
  </si>
  <si>
    <t xml:space="preserve">TOTAL Opt-out Customers </t>
  </si>
  <si>
    <t>Annual Reads</t>
  </si>
  <si>
    <t>Opt-out Reads Required</t>
  </si>
  <si>
    <t>TOTAL Meter Reads</t>
  </si>
  <si>
    <t>TOTAL Opt-out Manual Meter Reads</t>
  </si>
  <si>
    <t>Meter Read Time (Minutes)</t>
  </si>
  <si>
    <t>Time Required (hours)</t>
  </si>
  <si>
    <t>Expected Meter Read Time</t>
  </si>
  <si>
    <t>Planned Hours</t>
  </si>
  <si>
    <t>Productivity Factor</t>
  </si>
  <si>
    <t xml:space="preserve">Travel Time </t>
  </si>
  <si>
    <t>Total Required Hours</t>
  </si>
  <si>
    <t>Ideal Travel Bi-Monthly Customers (min)</t>
  </si>
  <si>
    <t>Ideal Travel Monthly Customers (min)</t>
  </si>
  <si>
    <t>FTEs (MR2s/MR's) Required</t>
  </si>
  <si>
    <t>Travel Delay Factor</t>
  </si>
  <si>
    <t>Total MR2s</t>
  </si>
  <si>
    <t>Delay Frequency in Winter Months</t>
  </si>
  <si>
    <t>MR2 Supervisor</t>
  </si>
  <si>
    <t>Resulting Delay Days</t>
  </si>
  <si>
    <t>Meter Coordinator</t>
  </si>
  <si>
    <t>Travel Difficulty on delay Days</t>
  </si>
  <si>
    <t>Bi-Monthly Expected Travel Time Per Meter (min)</t>
  </si>
  <si>
    <t>Customer Care Calls Generated</t>
  </si>
  <si>
    <t>Monthly Expected Travel Time Per Meter (min)</t>
  </si>
  <si>
    <t>Handle Time (hours)</t>
  </si>
  <si>
    <t>Meter Reader II</t>
  </si>
  <si>
    <t>FTEs (Customer Care) Required</t>
  </si>
  <si>
    <t xml:space="preserve">MR2  - Annual O&amp;M cost </t>
  </si>
  <si>
    <t>Customer Care Associates</t>
  </si>
  <si>
    <t>Supervisory</t>
  </si>
  <si>
    <t>Hours per Year</t>
  </si>
  <si>
    <t>Less: Vacation (4.5 weeks + 11.5 days Stat)</t>
  </si>
  <si>
    <t>Meter Reading Cost</t>
  </si>
  <si>
    <t>2025 Totals</t>
  </si>
  <si>
    <t>2026 Totals</t>
  </si>
  <si>
    <t>2027 Totals</t>
  </si>
  <si>
    <t>Less: Sick Time</t>
  </si>
  <si>
    <t>Less: Safety &amp; HR required training, daily administrative tasks</t>
  </si>
  <si>
    <t>Meter Reader II's</t>
  </si>
  <si>
    <t>Estimated Available Hours</t>
  </si>
  <si>
    <t>Supervisory and Meter Coordinator</t>
  </si>
  <si>
    <t>Total Labour</t>
  </si>
  <si>
    <t>Contact Centre Metric Estimates</t>
  </si>
  <si>
    <t>Opt Out Related Calls per Customer (annually)</t>
  </si>
  <si>
    <t>Customer Care Cost (Opt-out only)</t>
  </si>
  <si>
    <t>Average Handle Time (mins)</t>
  </si>
  <si>
    <t>Care Reps per Supervisors (ratio)</t>
  </si>
  <si>
    <t>Depreciation</t>
  </si>
  <si>
    <t>Carrying Costs</t>
  </si>
  <si>
    <t xml:space="preserve">Annual O&amp;M Cost </t>
  </si>
  <si>
    <t>Tax*</t>
  </si>
  <si>
    <t>Customer Care Rep</t>
  </si>
  <si>
    <t>Average Total Cost (2025 to 2027)</t>
  </si>
  <si>
    <t>Total Cost</t>
  </si>
  <si>
    <t>Customer Care Supervisor</t>
  </si>
  <si>
    <t>*NS Power’s current estimate considers 3 years of  inflation, and also includes interest expense, depreciation expense, earnings and tax. The tax recovery is primarily a result of capital cost allowance associated with the billing software and vehicle additions.</t>
  </si>
  <si>
    <t>Proposed AMI Opt-out Monthly Charge</t>
  </si>
  <si>
    <t>Less: Vacation (3 weeks + 11.5 days Stat)</t>
  </si>
  <si>
    <t>Monthly Charge: Bi-monthly Read Customers (2 Meter Reads per Year)</t>
  </si>
  <si>
    <t>Less: Safety training/ Admin</t>
  </si>
  <si>
    <t>Monthly Charge: Monthly Read Customers (12 Meter Reads per Year)</t>
  </si>
  <si>
    <t>MR2 Supervisor annual O&amp;M costs</t>
  </si>
  <si>
    <t>Meter Coordinator annual O&amp;M costs</t>
  </si>
  <si>
    <t>MR2 Supervisor Oversight of Opt Out read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</si>
</sst>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(&quot;$&quot;* #,##0_);_(&quot;$&quot;* \(#,##0\);_(&quot;$&quot;* &quot;-&quot;??_);_(@_)"/>
  </numFmts>
  <fonts count="13">
    <font>
      <sz val="11"/>
      <color theme="1"/>
      <name val="Aptos Narrow"/>
      <family val="2"/>
    </font>
    <font>
      <sz val="11"/>
      <color theme="1"/>
      <name val="Aptos Narrow"/>
      <family val="2"/>
    </font>
    <font>
      <b/>
      <sz val="11"/>
      <color theme="0"/>
      <name val="Aptos Narrow"/>
      <family val="2"/>
    </font>
    <font>
      <b/>
      <sz val="11"/>
      <color theme="1"/>
      <name val="Aptos Narrow"/>
      <family val="2"/>
    </font>
    <font>
      <sz val="12"/>
      <name val="Arial MT"/>
    </font>
    <font>
      <sz val="10.5"/>
      <color theme="1"/>
      <name val="Aptos Narrow"/>
      <family val="2"/>
    </font>
    <font>
      <b/>
      <sz val="14"/>
      <color theme="1"/>
      <name val="Aptos Narrow"/>
      <family val="2"/>
    </font>
    <font>
      <b/>
      <sz val="12"/>
      <color theme="0"/>
      <name val="Aptos Narrow"/>
      <family val="2"/>
    </font>
    <font>
      <b/>
      <sz val="11"/>
      <name val="Aptos Narrow"/>
      <family val="2"/>
    </font>
    <font>
      <sz val="11"/>
      <name val="Aptos Narrow"/>
      <family val="2"/>
    </font>
    <font>
      <strike/>
      <sz val="11"/>
      <color rgb="FFFF0000"/>
      <name val="Aptos Narrow"/>
      <family val="2"/>
    </font>
    <font>
      <b/>
      <sz val="12"/>
      <color theme="1"/>
      <name val="Aptos Narrow"/>
      <family val="2"/>
    </font>
    <font>
      <sz val="9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005FAA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0" fontId="4" fillId="0" borderId="0"/>
  </cellStyleXfs>
  <cellXfs count="115">
    <xf numFmtId="0" fontId="0" fillId="0" borderId="0" xfId="0"/>
    <xf numFmtId="164" fontId="0" fillId="0" borderId="3" xfId="1" applyNumberFormat="1" applyFont="1" applyFill="1" applyBorder="1"/>
    <xf numFmtId="164" fontId="0" fillId="0" borderId="4" xfId="1" applyNumberFormat="1" applyFont="1" applyFill="1" applyBorder="1"/>
    <xf numFmtId="164" fontId="0" fillId="0" borderId="9" xfId="1" applyNumberFormat="1" applyFont="1" applyBorder="1"/>
    <xf numFmtId="164" fontId="0" fillId="0" borderId="9" xfId="1" applyNumberFormat="1" applyFont="1" applyBorder="1" applyAlignment="1">
      <alignment vertical="center"/>
    </xf>
    <xf numFmtId="164" fontId="0" fillId="0" borderId="5" xfId="1" applyNumberFormat="1" applyFont="1" applyBorder="1"/>
    <xf numFmtId="166" fontId="0" fillId="0" borderId="4" xfId="2" applyNumberFormat="1" applyFont="1" applyFill="1" applyBorder="1"/>
    <xf numFmtId="164" fontId="0" fillId="0" borderId="9" xfId="1" applyNumberFormat="1" applyFont="1" applyFill="1" applyBorder="1"/>
    <xf numFmtId="164" fontId="0" fillId="0" borderId="5" xfId="1" applyNumberFormat="1" applyFont="1" applyFill="1" applyBorder="1" applyAlignment="1">
      <alignment vertical="center"/>
    </xf>
    <xf numFmtId="164" fontId="0" fillId="0" borderId="1" xfId="1" applyNumberFormat="1" applyFont="1" applyFill="1" applyBorder="1" applyAlignment="1">
      <alignment vertical="center"/>
    </xf>
    <xf numFmtId="164" fontId="0" fillId="0" borderId="6" xfId="1" applyNumberFormat="1" applyFont="1" applyFill="1" applyBorder="1"/>
    <xf numFmtId="164" fontId="0" fillId="0" borderId="1" xfId="1" applyNumberFormat="1" applyFont="1" applyBorder="1"/>
    <xf numFmtId="164" fontId="0" fillId="0" borderId="3" xfId="1" applyNumberFormat="1" applyFont="1" applyBorder="1"/>
    <xf numFmtId="164" fontId="0" fillId="0" borderId="4" xfId="1" applyNumberFormat="1" applyFont="1" applyBorder="1"/>
    <xf numFmtId="43" fontId="0" fillId="0" borderId="3" xfId="1" applyFont="1" applyBorder="1"/>
    <xf numFmtId="43" fontId="0" fillId="0" borderId="6" xfId="1" applyFont="1" applyBorder="1"/>
    <xf numFmtId="166" fontId="0" fillId="0" borderId="6" xfId="2" applyNumberFormat="1" applyFont="1" applyBorder="1" applyAlignment="1">
      <alignment horizontal="center" vertical="center"/>
    </xf>
    <xf numFmtId="166" fontId="0" fillId="0" borderId="6" xfId="2" applyNumberFormat="1" applyFont="1" applyFill="1" applyBorder="1" applyAlignment="1">
      <alignment horizontal="center" vertical="center"/>
    </xf>
    <xf numFmtId="0" fontId="0" fillId="2" borderId="0" xfId="0" applyFill="1"/>
    <xf numFmtId="0" fontId="7" fillId="4" borderId="1" xfId="0" applyFont="1" applyFill="1" applyBorder="1" applyAlignment="1">
      <alignment horizontal="center" wrapText="1"/>
    </xf>
    <xf numFmtId="43" fontId="8" fillId="3" borderId="1" xfId="1" quotePrefix="1" applyFont="1" applyFill="1" applyBorder="1" applyAlignment="1">
      <alignment horizontal="center"/>
    </xf>
    <xf numFmtId="9" fontId="2" fillId="4" borderId="1" xfId="3" applyFont="1" applyFill="1" applyBorder="1" applyAlignment="1">
      <alignment horizontal="left"/>
    </xf>
    <xf numFmtId="9" fontId="2" fillId="4" borderId="1" xfId="3" applyFont="1" applyFill="1" applyBorder="1" applyAlignment="1">
      <alignment horizontal="center"/>
    </xf>
    <xf numFmtId="0" fontId="0" fillId="0" borderId="3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9" fontId="5" fillId="0" borderId="0" xfId="0" applyNumberFormat="1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3" fontId="0" fillId="0" borderId="1" xfId="0" applyNumberFormat="1" applyBorder="1"/>
    <xf numFmtId="0" fontId="0" fillId="0" borderId="10" xfId="0" applyBorder="1"/>
    <xf numFmtId="164" fontId="0" fillId="0" borderId="1" xfId="0" applyNumberFormat="1" applyBorder="1"/>
    <xf numFmtId="3" fontId="9" fillId="0" borderId="6" xfId="4" applyNumberFormat="1" applyFont="1" applyBorder="1" applyProtection="1">
      <protection locked="0"/>
    </xf>
    <xf numFmtId="9" fontId="0" fillId="0" borderId="0" xfId="0" applyNumberFormat="1"/>
    <xf numFmtId="0" fontId="0" fillId="2" borderId="0" xfId="0" applyFill="1" applyAlignment="1">
      <alignment horizontal="center"/>
    </xf>
    <xf numFmtId="0" fontId="3" fillId="0" borderId="5" xfId="0" applyFont="1" applyBorder="1"/>
    <xf numFmtId="0" fontId="9" fillId="0" borderId="2" xfId="0" applyFont="1" applyBorder="1"/>
    <xf numFmtId="0" fontId="10" fillId="0" borderId="0" xfId="0" applyFont="1"/>
    <xf numFmtId="164" fontId="9" fillId="0" borderId="6" xfId="0" applyNumberFormat="1" applyFont="1" applyBorder="1"/>
    <xf numFmtId="0" fontId="9" fillId="0" borderId="8" xfId="0" applyFont="1" applyBorder="1"/>
    <xf numFmtId="0" fontId="10" fillId="0" borderId="11" xfId="0" applyFont="1" applyBorder="1"/>
    <xf numFmtId="9" fontId="9" fillId="0" borderId="4" xfId="3" applyFont="1" applyFill="1" applyBorder="1"/>
    <xf numFmtId="0" fontId="0" fillId="0" borderId="8" xfId="0" applyBorder="1"/>
    <xf numFmtId="0" fontId="0" fillId="0" borderId="11" xfId="0" applyBorder="1"/>
    <xf numFmtId="165" fontId="0" fillId="0" borderId="3" xfId="0" applyNumberFormat="1" applyBorder="1" applyAlignment="1">
      <alignment horizontal="center"/>
    </xf>
    <xf numFmtId="0" fontId="0" fillId="0" borderId="4" xfId="0" applyBorder="1"/>
    <xf numFmtId="165" fontId="0" fillId="0" borderId="4" xfId="0" applyNumberFormat="1" applyBorder="1" applyAlignment="1">
      <alignment horizontal="center"/>
    </xf>
    <xf numFmtId="0" fontId="0" fillId="0" borderId="12" xfId="0" applyBorder="1"/>
    <xf numFmtId="1" fontId="0" fillId="0" borderId="9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0" fontId="0" fillId="0" borderId="3" xfId="0" applyBorder="1" applyAlignment="1">
      <alignment horizontal="left" indent="1"/>
    </xf>
    <xf numFmtId="9" fontId="0" fillId="0" borderId="3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left" indent="1"/>
    </xf>
    <xf numFmtId="1" fontId="0" fillId="0" borderId="1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 indent="1"/>
    </xf>
    <xf numFmtId="9" fontId="0" fillId="0" borderId="6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3" fillId="0" borderId="8" xfId="0" applyFont="1" applyBorder="1" applyAlignment="1">
      <alignment horizontal="left"/>
    </xf>
    <xf numFmtId="164" fontId="0" fillId="2" borderId="0" xfId="0" applyNumberFormat="1" applyFill="1"/>
    <xf numFmtId="43" fontId="0" fillId="0" borderId="4" xfId="0" applyNumberFormat="1" applyBorder="1"/>
    <xf numFmtId="0" fontId="0" fillId="0" borderId="2" xfId="0" applyBorder="1" applyAlignment="1">
      <alignment horizontal="left" indent="2"/>
    </xf>
    <xf numFmtId="0" fontId="3" fillId="3" borderId="1" xfId="0" applyFont="1" applyFill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 wrapText="1" indent="2"/>
    </xf>
    <xf numFmtId="0" fontId="0" fillId="0" borderId="2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166" fontId="0" fillId="0" borderId="6" xfId="0" applyNumberForma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2" fontId="0" fillId="0" borderId="1" xfId="0" applyNumberFormat="1" applyBorder="1"/>
    <xf numFmtId="0" fontId="0" fillId="0" borderId="1" xfId="0" applyBorder="1"/>
    <xf numFmtId="0" fontId="0" fillId="0" borderId="9" xfId="0" applyBorder="1"/>
    <xf numFmtId="0" fontId="0" fillId="0" borderId="2" xfId="0" applyBorder="1" applyAlignment="1">
      <alignment horizontal="left" indent="1"/>
    </xf>
    <xf numFmtId="166" fontId="0" fillId="0" borderId="1" xfId="2" applyNumberFormat="1" applyFont="1" applyFill="1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9" fontId="0" fillId="0" borderId="1" xfId="0" applyNumberFormat="1" applyBorder="1" applyAlignment="1">
      <alignment vertical="center"/>
    </xf>
    <xf numFmtId="166" fontId="0" fillId="2" borderId="15" xfId="0" applyNumberFormat="1" applyFill="1" applyBorder="1" applyAlignment="1">
      <alignment horizontal="center" vertical="center"/>
    </xf>
    <xf numFmtId="164" fontId="0" fillId="0" borderId="1" xfId="1" applyNumberFormat="1" applyFont="1" applyFill="1" applyBorder="1"/>
    <xf numFmtId="166" fontId="0" fillId="0" borderId="1" xfId="2" applyNumberFormat="1" applyFont="1" applyFill="1" applyBorder="1" applyAlignment="1">
      <alignment vertical="center"/>
    </xf>
    <xf numFmtId="9" fontId="8" fillId="0" borderId="1" xfId="3" applyFont="1" applyFill="1" applyBorder="1" applyAlignment="1">
      <alignment horizontal="center"/>
    </xf>
    <xf numFmtId="166" fontId="11" fillId="0" borderId="1" xfId="0" applyNumberFormat="1" applyFont="1" applyBorder="1" applyAlignment="1">
      <alignment horizontal="center" vertical="center"/>
    </xf>
    <xf numFmtId="9" fontId="2" fillId="4" borderId="5" xfId="3" applyFont="1" applyFill="1" applyBorder="1" applyAlignment="1">
      <alignment horizontal="center"/>
    </xf>
    <xf numFmtId="9" fontId="2" fillId="4" borderId="7" xfId="3" applyFont="1" applyFill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9" fontId="2" fillId="4" borderId="14" xfId="3" applyFont="1" applyFill="1" applyBorder="1" applyAlignment="1">
      <alignment horizontal="center"/>
    </xf>
    <xf numFmtId="9" fontId="2" fillId="4" borderId="15" xfId="3" applyFont="1" applyFill="1" applyBorder="1" applyAlignment="1">
      <alignment horizontal="center"/>
    </xf>
    <xf numFmtId="9" fontId="2" fillId="4" borderId="12" xfId="3" applyFont="1" applyFill="1" applyBorder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44" fontId="0" fillId="0" borderId="10" xfId="2" applyFont="1" applyFill="1" applyBorder="1" applyAlignment="1">
      <alignment horizontal="center" vertical="center"/>
    </xf>
    <xf numFmtId="44" fontId="0" fillId="0" borderId="7" xfId="2" applyFont="1" applyFill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2" fillId="2" borderId="15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166" fontId="2" fillId="4" borderId="1" xfId="2" applyNumberFormat="1" applyFont="1" applyFill="1" applyBorder="1" applyAlignment="1">
      <alignment horizontal="center" vertical="center" wrapText="1"/>
    </xf>
    <xf numFmtId="166" fontId="2" fillId="4" borderId="5" xfId="2" applyNumberFormat="1" applyFont="1" applyFill="1" applyBorder="1" applyAlignment="1">
      <alignment horizontal="center" vertical="center" wrapText="1"/>
    </xf>
    <xf numFmtId="49" fontId="2" fillId="4" borderId="10" xfId="2" applyNumberFormat="1" applyFont="1" applyFill="1" applyBorder="1" applyAlignment="1">
      <alignment horizontal="center" vertical="center"/>
    </xf>
    <xf numFmtId="49" fontId="2" fillId="4" borderId="7" xfId="2" applyNumberFormat="1" applyFont="1" applyFill="1" applyBorder="1" applyAlignment="1">
      <alignment horizontal="center" vertical="center"/>
    </xf>
  </cellXfs>
  <cellStyles count="5">
    <cellStyle name="Comma" xfId="1" builtinId="3"/>
    <cellStyle name="Currency" xfId="2" builtinId="4"/>
    <cellStyle name="Normal" xfId="0" builtinId="0"/>
    <cellStyle name="Normal_Exh 8a" xfId="4" xr:uid="{097A3D48-ACF6-4299-ABC0-2BB9FE58986C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S Power*">
      <a:dk1>
        <a:sysClr val="windowText" lastClr="000000"/>
      </a:dk1>
      <a:lt1>
        <a:sysClr val="window" lastClr="FFFFFF"/>
      </a:lt1>
      <a:dk2>
        <a:srgbClr val="084272"/>
      </a:dk2>
      <a:lt2>
        <a:srgbClr val="636363"/>
      </a:lt2>
      <a:accent1>
        <a:srgbClr val="005FAA"/>
      </a:accent1>
      <a:accent2>
        <a:srgbClr val="0099CC"/>
      </a:accent2>
      <a:accent3>
        <a:srgbClr val="FFFFCC"/>
      </a:accent3>
      <a:accent4>
        <a:srgbClr val="F2D450"/>
      </a:accent4>
      <a:accent5>
        <a:srgbClr val="84C344"/>
      </a:accent5>
      <a:accent6>
        <a:srgbClr val="58A618"/>
      </a:accent6>
      <a:hlink>
        <a:srgbClr val="005FAA"/>
      </a:hlink>
      <a:folHlink>
        <a:srgbClr val="005FAA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246A5-2290-4A12-9486-1F754A1D64A2}">
  <sheetPr>
    <pageSetUpPr fitToPage="1"/>
  </sheetPr>
  <dimension ref="B2:M53"/>
  <sheetViews>
    <sheetView tabSelected="1" zoomScale="70" zoomScaleNormal="70" workbookViewId="0">
      <selection activeCell="P32" sqref="P32"/>
    </sheetView>
  </sheetViews>
  <sheetFormatPr defaultColWidth="9.1796875" defaultRowHeight="14.5"/>
  <cols>
    <col min="1" max="1" width="3.81640625" style="18" customWidth="1"/>
    <col min="2" max="2" width="45.81640625" style="18" bestFit="1" customWidth="1"/>
    <col min="3" max="3" width="12.453125" style="18" bestFit="1" customWidth="1"/>
    <col min="4" max="4" width="13.453125" style="18" bestFit="1" customWidth="1"/>
    <col min="5" max="5" width="3.1796875" style="18" customWidth="1"/>
    <col min="6" max="6" width="32.54296875" style="18" bestFit="1" customWidth="1"/>
    <col min="7" max="7" width="3.54296875" style="18" bestFit="1" customWidth="1"/>
    <col min="8" max="8" width="11.54296875" style="18" bestFit="1" customWidth="1"/>
    <col min="9" max="9" width="3.453125" style="18" customWidth="1"/>
    <col min="10" max="10" width="18" style="18" customWidth="1"/>
    <col min="11" max="11" width="17.453125" style="18" customWidth="1"/>
    <col min="12" max="12" width="16.54296875" style="18" customWidth="1"/>
    <col min="13" max="13" width="15.54296875" style="18" customWidth="1"/>
    <col min="14" max="16384" width="9.1796875" style="18"/>
  </cols>
  <sheetData>
    <row r="2" spans="2:13" ht="34.5" customHeight="1">
      <c r="B2" s="98" t="s">
        <v>0</v>
      </c>
      <c r="C2" s="98"/>
      <c r="D2" s="98"/>
      <c r="H2" s="19" t="s">
        <v>1</v>
      </c>
      <c r="J2" s="99" t="s">
        <v>1</v>
      </c>
      <c r="K2" s="100"/>
      <c r="L2" s="100"/>
      <c r="M2" s="101"/>
    </row>
    <row r="3" spans="2:13">
      <c r="H3" s="88">
        <v>2.9364000000000001E-2</v>
      </c>
      <c r="J3" s="20" t="s">
        <v>2</v>
      </c>
      <c r="K3" s="20" t="s">
        <v>3</v>
      </c>
      <c r="L3" s="20" t="s">
        <v>4</v>
      </c>
      <c r="M3" s="20" t="s">
        <v>5</v>
      </c>
    </row>
    <row r="4" spans="2:13">
      <c r="B4" s="21" t="s">
        <v>6</v>
      </c>
      <c r="C4" s="22" t="s">
        <v>7</v>
      </c>
      <c r="D4" s="22" t="s">
        <v>8</v>
      </c>
      <c r="F4" s="92" t="s">
        <v>9</v>
      </c>
      <c r="G4" s="93"/>
      <c r="H4" s="94"/>
      <c r="J4" s="23"/>
      <c r="K4" s="23"/>
      <c r="L4" s="23"/>
      <c r="M4" s="23"/>
    </row>
    <row r="5" spans="2:13">
      <c r="B5" s="24" t="s">
        <v>10</v>
      </c>
      <c r="C5" s="1">
        <v>534459</v>
      </c>
      <c r="D5" s="25" t="s">
        <v>11</v>
      </c>
      <c r="F5" s="24" t="str">
        <f>B5</f>
        <v>Bi-monthly read customers</v>
      </c>
      <c r="G5" s="26">
        <f>+H5/C5</f>
        <v>3.4533986704312208E-2</v>
      </c>
      <c r="H5" s="10">
        <v>18457</v>
      </c>
      <c r="J5" s="10">
        <v>18457</v>
      </c>
      <c r="K5" s="10">
        <v>18457</v>
      </c>
      <c r="L5" s="10">
        <v>13499.5</v>
      </c>
      <c r="M5" s="10">
        <v>10727.2</v>
      </c>
    </row>
    <row r="6" spans="2:13">
      <c r="B6" s="24" t="s">
        <v>12</v>
      </c>
      <c r="C6" s="2">
        <v>20001</v>
      </c>
      <c r="D6" s="27" t="s">
        <v>13</v>
      </c>
      <c r="F6" s="24" t="s">
        <v>12</v>
      </c>
      <c r="G6" s="26">
        <f>+H6/C6</f>
        <v>1.8099095045247739E-2</v>
      </c>
      <c r="H6" s="2">
        <v>362</v>
      </c>
      <c r="J6" s="2">
        <v>362</v>
      </c>
      <c r="K6" s="2">
        <v>362</v>
      </c>
      <c r="L6" s="2">
        <v>362</v>
      </c>
      <c r="M6" s="2">
        <v>362</v>
      </c>
    </row>
    <row r="7" spans="2:13">
      <c r="B7" s="28" t="s">
        <v>14</v>
      </c>
      <c r="C7" s="29">
        <f>SUM(C5:C6)</f>
        <v>554460</v>
      </c>
      <c r="F7" s="28" t="s">
        <v>15</v>
      </c>
      <c r="G7" s="30"/>
      <c r="H7" s="31">
        <f>+H5+H6</f>
        <v>18819</v>
      </c>
      <c r="J7" s="31">
        <f>SUM(J5:J6)</f>
        <v>18819</v>
      </c>
      <c r="K7" s="31">
        <f>SUM(K5:K6)</f>
        <v>18819</v>
      </c>
      <c r="L7" s="31">
        <f>SUM(L5:L6)</f>
        <v>13861.5</v>
      </c>
      <c r="M7" s="31">
        <f>SUM(M5:M6)</f>
        <v>11089.2</v>
      </c>
    </row>
    <row r="9" spans="2:13">
      <c r="B9" s="21" t="s">
        <v>6</v>
      </c>
      <c r="C9" s="22" t="s">
        <v>8</v>
      </c>
      <c r="D9" s="22" t="s">
        <v>16</v>
      </c>
      <c r="F9" s="92" t="s">
        <v>17</v>
      </c>
      <c r="G9" s="93"/>
      <c r="H9" s="94"/>
      <c r="J9" s="23"/>
      <c r="K9" s="23"/>
      <c r="L9" s="23"/>
      <c r="M9" s="23"/>
    </row>
    <row r="10" spans="2:13">
      <c r="B10" s="24" t="s">
        <v>10</v>
      </c>
      <c r="C10" s="32">
        <f>C5*D10</f>
        <v>1068918</v>
      </c>
      <c r="D10" s="25">
        <v>2</v>
      </c>
      <c r="F10" s="24" t="str">
        <f>B10</f>
        <v>Bi-monthly read customers</v>
      </c>
      <c r="G10" s="33"/>
      <c r="H10" s="10">
        <f>H5*D10</f>
        <v>36914</v>
      </c>
      <c r="J10" s="10">
        <f>AVERAGE(J5)*D10</f>
        <v>36914</v>
      </c>
      <c r="K10" s="10">
        <f>AVERAGE(K5)*D10</f>
        <v>36914</v>
      </c>
      <c r="L10" s="10">
        <f>AVERAGE(L5)*D10</f>
        <v>26999</v>
      </c>
      <c r="M10" s="10">
        <f>M5*D10</f>
        <v>21454.400000000001</v>
      </c>
    </row>
    <row r="11" spans="2:13">
      <c r="B11" s="24" t="s">
        <v>12</v>
      </c>
      <c r="C11" s="32">
        <f>C6*D11</f>
        <v>240012</v>
      </c>
      <c r="D11" s="27">
        <v>12</v>
      </c>
      <c r="F11" s="24" t="str">
        <f>B11</f>
        <v>Monthly read customers</v>
      </c>
      <c r="G11" s="33"/>
      <c r="H11" s="10">
        <f>H6*D11</f>
        <v>4344</v>
      </c>
      <c r="J11" s="2">
        <f>G6*C11</f>
        <v>4344</v>
      </c>
      <c r="K11" s="2">
        <f>H6*D11</f>
        <v>4344</v>
      </c>
      <c r="L11" s="2">
        <f>H6*D11</f>
        <v>4344</v>
      </c>
      <c r="M11" s="2">
        <f>H6*D11</f>
        <v>4344</v>
      </c>
    </row>
    <row r="12" spans="2:13">
      <c r="B12" s="28" t="s">
        <v>18</v>
      </c>
      <c r="C12" s="29">
        <f>SUM(C10:C11)</f>
        <v>1308930</v>
      </c>
      <c r="D12" s="34"/>
      <c r="F12" s="28" t="s">
        <v>19</v>
      </c>
      <c r="G12" s="30"/>
      <c r="H12" s="11">
        <f>SUM(H10:H11)</f>
        <v>41258</v>
      </c>
      <c r="J12" s="11">
        <f>SUM(J10:J11)</f>
        <v>41258</v>
      </c>
      <c r="K12" s="11">
        <f>SUM(K10:K11)</f>
        <v>41258</v>
      </c>
      <c r="L12" s="11">
        <f>SUM(L10:L11)</f>
        <v>31343</v>
      </c>
      <c r="M12" s="11">
        <f>SUM(M10:M11)</f>
        <v>25798.400000000001</v>
      </c>
    </row>
    <row r="14" spans="2:13">
      <c r="B14" s="90" t="s">
        <v>20</v>
      </c>
      <c r="C14" s="91"/>
      <c r="F14" s="92" t="s">
        <v>21</v>
      </c>
      <c r="G14" s="93"/>
      <c r="H14" s="94"/>
      <c r="J14" s="23"/>
      <c r="K14" s="23"/>
      <c r="L14" s="23"/>
      <c r="M14" s="23"/>
    </row>
    <row r="15" spans="2:13">
      <c r="B15" s="35" t="s">
        <v>22</v>
      </c>
      <c r="C15" s="59">
        <v>5</v>
      </c>
      <c r="F15" s="36" t="s">
        <v>23</v>
      </c>
      <c r="G15" s="37"/>
      <c r="H15" s="38">
        <v>6170</v>
      </c>
      <c r="J15" s="38">
        <v>6170.0159982271707</v>
      </c>
      <c r="K15" s="38">
        <v>6170.0159982271707</v>
      </c>
      <c r="L15" s="38">
        <v>4683.471207362355</v>
      </c>
      <c r="M15" s="38">
        <v>3852.1228705635481</v>
      </c>
    </row>
    <row r="16" spans="2:13">
      <c r="F16" s="39" t="s">
        <v>24</v>
      </c>
      <c r="G16" s="40"/>
      <c r="H16" s="41">
        <v>0.99</v>
      </c>
      <c r="J16" s="41">
        <f>+H16</f>
        <v>0.99</v>
      </c>
      <c r="K16" s="41">
        <f>+J16</f>
        <v>0.99</v>
      </c>
      <c r="L16" s="41">
        <f>+K16</f>
        <v>0.99</v>
      </c>
      <c r="M16" s="41">
        <f>+L16</f>
        <v>0.99</v>
      </c>
    </row>
    <row r="17" spans="2:13">
      <c r="B17" s="90" t="s">
        <v>25</v>
      </c>
      <c r="C17" s="91"/>
      <c r="F17" s="42" t="s">
        <v>26</v>
      </c>
      <c r="G17" s="43"/>
      <c r="H17" s="31">
        <f>H15/H16</f>
        <v>6232.3232323232323</v>
      </c>
      <c r="J17" s="31">
        <f t="shared" ref="J17:M17" si="0">J15/J16</f>
        <v>6232.3393921486577</v>
      </c>
      <c r="K17" s="31">
        <f>K15/K16</f>
        <v>6232.3393921486577</v>
      </c>
      <c r="L17" s="31">
        <f t="shared" si="0"/>
        <v>4730.7789973357121</v>
      </c>
      <c r="M17" s="31">
        <f t="shared" si="0"/>
        <v>3891.0332025894427</v>
      </c>
    </row>
    <row r="18" spans="2:13">
      <c r="B18" s="23" t="s">
        <v>27</v>
      </c>
      <c r="C18" s="44">
        <v>3.6</v>
      </c>
      <c r="F18"/>
      <c r="G18"/>
      <c r="H18"/>
      <c r="J18"/>
      <c r="K18"/>
      <c r="L18"/>
      <c r="M18"/>
    </row>
    <row r="19" spans="2:13">
      <c r="B19" s="45" t="s">
        <v>28</v>
      </c>
      <c r="C19" s="46">
        <v>3.6</v>
      </c>
      <c r="F19" s="92" t="s">
        <v>29</v>
      </c>
      <c r="G19" s="93"/>
      <c r="H19" s="94"/>
      <c r="J19" s="23"/>
      <c r="K19" s="47"/>
      <c r="L19" s="47"/>
      <c r="M19" s="47"/>
    </row>
    <row r="20" spans="2:13">
      <c r="B20" s="92" t="s">
        <v>30</v>
      </c>
      <c r="C20" s="94"/>
      <c r="F20" s="24" t="s">
        <v>31</v>
      </c>
      <c r="G20"/>
      <c r="H20" s="48">
        <f>H17/C34</f>
        <v>4.6405980881036726</v>
      </c>
      <c r="J20" s="49">
        <v>5</v>
      </c>
      <c r="K20" s="50">
        <v>5</v>
      </c>
      <c r="L20" s="50">
        <v>4</v>
      </c>
      <c r="M20" s="50">
        <v>4</v>
      </c>
    </row>
    <row r="21" spans="2:13">
      <c r="B21" s="51" t="s">
        <v>32</v>
      </c>
      <c r="C21" s="52">
        <v>0.1</v>
      </c>
      <c r="F21" s="24" t="s">
        <v>33</v>
      </c>
      <c r="G21"/>
      <c r="H21" s="48">
        <v>1</v>
      </c>
      <c r="J21" s="53">
        <v>1</v>
      </c>
      <c r="K21" s="48">
        <v>1</v>
      </c>
      <c r="L21" s="48">
        <v>1</v>
      </c>
      <c r="M21" s="48">
        <v>1</v>
      </c>
    </row>
    <row r="22" spans="2:13">
      <c r="B22" s="54" t="s">
        <v>34</v>
      </c>
      <c r="C22" s="53">
        <v>14</v>
      </c>
      <c r="F22" s="42" t="s">
        <v>35</v>
      </c>
      <c r="G22" s="43"/>
      <c r="H22" s="55">
        <v>1</v>
      </c>
      <c r="J22" s="56">
        <v>1</v>
      </c>
      <c r="K22" s="55">
        <v>1</v>
      </c>
      <c r="L22" s="55">
        <v>1</v>
      </c>
      <c r="M22" s="55">
        <v>1</v>
      </c>
    </row>
    <row r="23" spans="2:13">
      <c r="B23" s="57" t="s">
        <v>36</v>
      </c>
      <c r="C23" s="58">
        <v>0.5</v>
      </c>
    </row>
    <row r="24" spans="2:13">
      <c r="B24" s="35" t="s">
        <v>37</v>
      </c>
      <c r="C24" s="59">
        <v>3.7</v>
      </c>
      <c r="F24" s="60" t="s">
        <v>38</v>
      </c>
      <c r="G24" s="61"/>
      <c r="H24" s="12">
        <f>$C$37*H7</f>
        <v>13333.261500000001</v>
      </c>
      <c r="J24" s="12">
        <f>$C$37*AVERAGE(J7)</f>
        <v>13333.261500000001</v>
      </c>
      <c r="K24" s="12">
        <f>$C$37*AVERAGE(K7)</f>
        <v>13333.261500000001</v>
      </c>
      <c r="L24" s="12">
        <f>$C$37*AVERAGE(L7)</f>
        <v>9820.8727500000005</v>
      </c>
      <c r="M24" s="12">
        <f>$C$37*AVERAGE(M7)</f>
        <v>7856.6982000000007</v>
      </c>
    </row>
    <row r="25" spans="2:13">
      <c r="B25" s="62" t="s">
        <v>39</v>
      </c>
      <c r="C25" s="59">
        <v>3.7</v>
      </c>
      <c r="F25" s="42" t="s">
        <v>40</v>
      </c>
      <c r="G25" s="43"/>
      <c r="H25" s="13">
        <f>(H24*$C$38)/60</f>
        <v>2755.5407100000002</v>
      </c>
      <c r="J25" s="13">
        <f>(J24*$C$38)/60</f>
        <v>2755.5407100000002</v>
      </c>
      <c r="K25" s="13">
        <f>(K24*$C$38)/60</f>
        <v>2755.5407100000002</v>
      </c>
      <c r="L25" s="13">
        <f>(L24*$C$38)/60</f>
        <v>2029.6470350000002</v>
      </c>
      <c r="M25" s="13">
        <f>(M24*$C$38)/60</f>
        <v>1623.7176280000001</v>
      </c>
    </row>
    <row r="26" spans="2:13">
      <c r="H26" s="63"/>
    </row>
    <row r="27" spans="2:13">
      <c r="B27" s="90" t="s">
        <v>41</v>
      </c>
      <c r="C27" s="91"/>
      <c r="F27" s="92" t="s">
        <v>42</v>
      </c>
      <c r="G27" s="93"/>
      <c r="H27" s="94"/>
      <c r="J27" s="23"/>
      <c r="K27" s="23"/>
      <c r="L27" s="23"/>
      <c r="M27" s="23"/>
    </row>
    <row r="28" spans="2:13">
      <c r="B28" s="24" t="s">
        <v>43</v>
      </c>
      <c r="C28" s="6">
        <v>95263</v>
      </c>
      <c r="F28" s="24" t="s">
        <v>44</v>
      </c>
      <c r="G28" s="61"/>
      <c r="H28" s="14">
        <f>H25/$C$49</f>
        <v>1.9142346022924628</v>
      </c>
      <c r="J28" s="15">
        <f>J25/$C$49</f>
        <v>1.9142346022924628</v>
      </c>
      <c r="K28" s="15">
        <f>K25/$C$49</f>
        <v>1.9142346022924628</v>
      </c>
      <c r="L28" s="15">
        <f>L25/$C$49</f>
        <v>1.4099666794025705</v>
      </c>
      <c r="M28" s="15">
        <f>M25/$C$49</f>
        <v>1.1279733435220562</v>
      </c>
    </row>
    <row r="29" spans="2:13">
      <c r="B29" s="24"/>
      <c r="C29" s="3"/>
      <c r="F29" s="42" t="s">
        <v>45</v>
      </c>
      <c r="G29" s="43"/>
      <c r="H29" s="64">
        <f>H28*(1/$C$39)</f>
        <v>0.11963966264327892</v>
      </c>
      <c r="J29" s="64">
        <f>J28*(1/$C$39)</f>
        <v>0.11963966264327892</v>
      </c>
      <c r="K29" s="64">
        <f>K28*(1/$C$39)</f>
        <v>0.11963966264327892</v>
      </c>
      <c r="L29" s="64">
        <f>L28*(1/$C$39)</f>
        <v>8.8122917462660655E-2</v>
      </c>
      <c r="M29" s="64">
        <f>M28*(1/$C$39)</f>
        <v>7.0498333970128516E-2</v>
      </c>
    </row>
    <row r="30" spans="2:13">
      <c r="B30" s="24" t="s">
        <v>46</v>
      </c>
      <c r="C30" s="3">
        <f>40*52</f>
        <v>2080</v>
      </c>
    </row>
    <row r="31" spans="2:13">
      <c r="B31" s="65" t="s">
        <v>47</v>
      </c>
      <c r="C31" s="3">
        <v>272</v>
      </c>
      <c r="F31" s="95" t="s">
        <v>48</v>
      </c>
      <c r="G31" s="96"/>
      <c r="H31" s="97"/>
      <c r="K31" s="66" t="s">
        <v>49</v>
      </c>
      <c r="L31" s="66" t="s">
        <v>50</v>
      </c>
      <c r="M31" s="66" t="s">
        <v>51</v>
      </c>
    </row>
    <row r="32" spans="2:13">
      <c r="B32" s="65" t="s">
        <v>52</v>
      </c>
      <c r="C32" s="3">
        <v>40</v>
      </c>
      <c r="F32" s="67"/>
      <c r="G32" s="68"/>
      <c r="H32" s="69"/>
      <c r="K32" s="69"/>
      <c r="L32" s="69"/>
      <c r="M32" s="69"/>
    </row>
    <row r="33" spans="2:13" ht="29">
      <c r="B33" s="70" t="s">
        <v>53</v>
      </c>
      <c r="C33" s="4">
        <v>425</v>
      </c>
      <c r="F33" s="71" t="s">
        <v>54</v>
      </c>
      <c r="G33" s="72"/>
      <c r="H33" s="73">
        <f>AVERAGE(K33:M33)</f>
        <v>440508.33333333331</v>
      </c>
      <c r="K33" s="73">
        <v>476314</v>
      </c>
      <c r="L33" s="73">
        <v>441614</v>
      </c>
      <c r="M33" s="73">
        <v>403597</v>
      </c>
    </row>
    <row r="34" spans="2:13">
      <c r="B34" s="5" t="s">
        <v>55</v>
      </c>
      <c r="C34" s="86">
        <f>C30-C31-C32-C33</f>
        <v>1343</v>
      </c>
      <c r="F34" s="71" t="s">
        <v>56</v>
      </c>
      <c r="G34" s="72"/>
      <c r="H34" s="73">
        <f>AVERAGE(K34:M34)</f>
        <v>153921.33333333334</v>
      </c>
      <c r="K34" s="16">
        <v>149274</v>
      </c>
      <c r="L34" s="16">
        <v>153990</v>
      </c>
      <c r="M34" s="16">
        <v>158500</v>
      </c>
    </row>
    <row r="35" spans="2:13">
      <c r="F35" s="74" t="s">
        <v>57</v>
      </c>
      <c r="G35" s="75"/>
      <c r="H35" s="76">
        <f>SUM(H32:H34)</f>
        <v>594429.66666666663</v>
      </c>
      <c r="K35" s="76">
        <f>SUM(K32:K34)</f>
        <v>625588</v>
      </c>
      <c r="L35" s="76">
        <f>SUM(L32:L34)</f>
        <v>595604</v>
      </c>
      <c r="M35" s="76">
        <f>SUM(M32:M34)</f>
        <v>562097</v>
      </c>
    </row>
    <row r="36" spans="2:13">
      <c r="B36" s="90" t="s">
        <v>58</v>
      </c>
      <c r="C36" s="91"/>
      <c r="F36" s="71"/>
      <c r="G36" s="72"/>
      <c r="H36" s="73"/>
      <c r="K36" s="73"/>
      <c r="L36" s="73"/>
      <c r="M36" s="73"/>
    </row>
    <row r="37" spans="2:13">
      <c r="B37" s="24" t="s">
        <v>59</v>
      </c>
      <c r="C37" s="77">
        <v>0.70850000000000002</v>
      </c>
      <c r="F37" s="71" t="s">
        <v>60</v>
      </c>
      <c r="G37" s="72"/>
      <c r="H37" s="16">
        <f>AVERAGE(K37:M37)</f>
        <v>125518</v>
      </c>
      <c r="K37" s="16">
        <v>144863</v>
      </c>
      <c r="L37" s="16">
        <v>129743</v>
      </c>
      <c r="M37" s="16">
        <v>101948</v>
      </c>
    </row>
    <row r="38" spans="2:13">
      <c r="B38" s="24" t="s">
        <v>61</v>
      </c>
      <c r="C38" s="78">
        <v>12.4</v>
      </c>
      <c r="F38" s="71"/>
      <c r="G38" s="72"/>
      <c r="H38" s="73"/>
      <c r="K38" s="17"/>
      <c r="L38" s="17"/>
      <c r="M38" s="17"/>
    </row>
    <row r="39" spans="2:13">
      <c r="B39" s="24" t="s">
        <v>62</v>
      </c>
      <c r="C39" s="78">
        <v>16</v>
      </c>
      <c r="F39" s="71" t="s">
        <v>63</v>
      </c>
      <c r="G39" s="72"/>
      <c r="H39" s="16">
        <f>AVERAGE(K39:M39)</f>
        <v>61909</v>
      </c>
      <c r="K39" s="16">
        <v>63486</v>
      </c>
      <c r="L39" s="16">
        <v>61901</v>
      </c>
      <c r="M39" s="16">
        <v>60340</v>
      </c>
    </row>
    <row r="40" spans="2:13">
      <c r="B40" s="24"/>
      <c r="C40" s="79"/>
      <c r="F40" s="71" t="s">
        <v>64</v>
      </c>
      <c r="G40" s="72"/>
      <c r="H40" s="16">
        <f>AVERAGE(K40:M40)</f>
        <v>29982</v>
      </c>
      <c r="K40" s="16">
        <v>30900</v>
      </c>
      <c r="L40" s="16">
        <v>29910</v>
      </c>
      <c r="M40" s="16">
        <v>29136</v>
      </c>
    </row>
    <row r="41" spans="2:13">
      <c r="B41" s="107" t="s">
        <v>65</v>
      </c>
      <c r="C41" s="108"/>
      <c r="F41" s="71" t="s">
        <v>66</v>
      </c>
      <c r="G41" s="72"/>
      <c r="H41" s="16">
        <f>AVERAGE(K41:M41)</f>
        <v>13496.666666666666</v>
      </c>
      <c r="K41" s="16">
        <v>14868</v>
      </c>
      <c r="L41" s="16">
        <v>13726</v>
      </c>
      <c r="M41" s="16">
        <v>11896</v>
      </c>
    </row>
    <row r="42" spans="2:13" ht="16">
      <c r="B42" s="80" t="s">
        <v>67</v>
      </c>
      <c r="C42" s="6">
        <v>70090</v>
      </c>
      <c r="F42" s="102" t="s">
        <v>68</v>
      </c>
      <c r="G42" s="102"/>
      <c r="H42" s="89">
        <f>+H35+H37+H39+H40+H41</f>
        <v>825335.33333333326</v>
      </c>
      <c r="J42" s="35" t="s">
        <v>69</v>
      </c>
      <c r="K42" s="89">
        <f>+K35+K37+K39+K40+K41</f>
        <v>879705</v>
      </c>
      <c r="L42" s="89">
        <f>+L35+L37+L39+L40+L41</f>
        <v>830884</v>
      </c>
      <c r="M42" s="89">
        <f>+M35+M37+M39+M40+M41</f>
        <v>765417</v>
      </c>
    </row>
    <row r="43" spans="2:13">
      <c r="B43" s="80" t="s">
        <v>70</v>
      </c>
      <c r="C43" s="81">
        <v>89378</v>
      </c>
      <c r="F43" s="109" t="s">
        <v>71</v>
      </c>
      <c r="G43" s="109"/>
      <c r="H43" s="109"/>
      <c r="K43" s="85"/>
      <c r="L43" s="85"/>
      <c r="M43" s="85"/>
    </row>
    <row r="44" spans="2:13">
      <c r="B44" s="24"/>
      <c r="C44" s="79"/>
      <c r="F44" s="110"/>
      <c r="G44" s="110"/>
      <c r="H44" s="110"/>
      <c r="J44" s="111" t="s">
        <v>72</v>
      </c>
      <c r="K44" s="112"/>
      <c r="L44" s="113">
        <v>2026</v>
      </c>
      <c r="M44" s="114">
        <v>2027</v>
      </c>
    </row>
    <row r="45" spans="2:13">
      <c r="B45" s="24" t="s">
        <v>46</v>
      </c>
      <c r="C45" s="7">
        <f>35*52</f>
        <v>1820</v>
      </c>
      <c r="F45" s="110"/>
      <c r="G45" s="110"/>
      <c r="H45" s="110"/>
      <c r="J45" s="111"/>
      <c r="K45" s="112"/>
      <c r="L45" s="113"/>
      <c r="M45" s="114"/>
    </row>
    <row r="46" spans="2:13">
      <c r="B46" s="65" t="s">
        <v>73</v>
      </c>
      <c r="C46" s="7">
        <f>26.5*7</f>
        <v>185.5</v>
      </c>
      <c r="F46" s="110"/>
      <c r="G46" s="110"/>
      <c r="H46" s="110"/>
      <c r="J46" s="103" t="s">
        <v>74</v>
      </c>
      <c r="K46" s="104"/>
      <c r="L46" s="105">
        <f>L48*2/12</f>
        <v>3.8148418524997361</v>
      </c>
      <c r="M46" s="106">
        <f>M48*2/12</f>
        <v>4.4650463586821463</v>
      </c>
    </row>
    <row r="47" spans="2:13">
      <c r="B47" s="65" t="s">
        <v>52</v>
      </c>
      <c r="C47" s="7">
        <v>35</v>
      </c>
      <c r="J47" s="103"/>
      <c r="K47" s="104"/>
      <c r="L47" s="105"/>
      <c r="M47" s="106"/>
    </row>
    <row r="48" spans="2:13">
      <c r="B48" s="65" t="s">
        <v>75</v>
      </c>
      <c r="C48" s="7">
        <v>160</v>
      </c>
      <c r="J48" s="103" t="s">
        <v>76</v>
      </c>
      <c r="K48" s="104"/>
      <c r="L48" s="105">
        <f>L42/AVERAGE(K12:L12)</f>
        <v>22.889051114998416</v>
      </c>
      <c r="M48" s="106">
        <f>M42/AVERAGE(L12:M12)</f>
        <v>26.790278152092878</v>
      </c>
    </row>
    <row r="49" spans="2:13">
      <c r="B49" s="8" t="s">
        <v>55</v>
      </c>
      <c r="C49" s="9">
        <f>C45-C46-C47-C48</f>
        <v>1439.5</v>
      </c>
      <c r="J49" s="103"/>
      <c r="K49" s="104"/>
      <c r="L49" s="105"/>
      <c r="M49" s="106"/>
    </row>
    <row r="51" spans="2:13">
      <c r="B51" s="82" t="s">
        <v>77</v>
      </c>
      <c r="C51" s="87">
        <v>176150</v>
      </c>
    </row>
    <row r="52" spans="2:13">
      <c r="B52" s="83" t="s">
        <v>78</v>
      </c>
      <c r="C52" s="87">
        <v>91144</v>
      </c>
    </row>
    <row r="53" spans="2:13">
      <c r="B53" s="82" t="s">
        <v>79</v>
      </c>
      <c r="C53" s="84">
        <v>0.33</v>
      </c>
    </row>
  </sheetData>
  <mergeCells count="25">
    <mergeCell ref="J48:K49"/>
    <mergeCell ref="L48:L49"/>
    <mergeCell ref="M48:M49"/>
    <mergeCell ref="F43:H46"/>
    <mergeCell ref="J44:K45"/>
    <mergeCell ref="L44:L45"/>
    <mergeCell ref="M44:M45"/>
    <mergeCell ref="F42:G42"/>
    <mergeCell ref="J46:K47"/>
    <mergeCell ref="L46:L47"/>
    <mergeCell ref="M46:M47"/>
    <mergeCell ref="B41:C41"/>
    <mergeCell ref="J2:M2"/>
    <mergeCell ref="F4:H4"/>
    <mergeCell ref="F9:H9"/>
    <mergeCell ref="F14:H14"/>
    <mergeCell ref="F19:H19"/>
    <mergeCell ref="B36:C36"/>
    <mergeCell ref="F27:H27"/>
    <mergeCell ref="F31:H31"/>
    <mergeCell ref="B2:D2"/>
    <mergeCell ref="B14:C14"/>
    <mergeCell ref="B17:C17"/>
    <mergeCell ref="B20:C20"/>
    <mergeCell ref="B27:C27"/>
  </mergeCells>
  <pageMargins left="0.25" right="0.25" top="0.75" bottom="0.75" header="0.3" footer="0.3"/>
  <pageSetup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CC08870AD18C44B414A836F57CD5AD" ma:contentTypeVersion="18" ma:contentTypeDescription="Create a new document." ma:contentTypeScope="" ma:versionID="8b6ca416cb65b2681e84ab21e081e85c">
  <xsd:schema xmlns:xsd="http://www.w3.org/2001/XMLSchema" xmlns:xs="http://www.w3.org/2001/XMLSchema" xmlns:p="http://schemas.microsoft.com/office/2006/metadata/properties" xmlns:ns2="ccc11b15-397e-47e6-b65f-8de044c3e171" targetNamespace="http://schemas.microsoft.com/office/2006/metadata/properties" ma:root="true" ma:fieldsID="93a4f5fbac6cdae0850d4aca5d9a443c" ns2:_="">
    <xsd:import namespace="ccc11b15-397e-47e6-b65f-8de044c3e171"/>
    <xsd:element name="properties">
      <xsd:complexType>
        <xsd:sequence>
          <xsd:element name="documentManagement">
            <xsd:complexType>
              <xsd:all>
                <xsd:element ref="ns2:Proceeding" minOccurs="0"/>
                <xsd:element ref="ns2:LibraryType"/>
                <xsd:element ref="ns2:Section" minOccurs="0"/>
                <xsd:element ref="ns2:Status" minOccurs="0"/>
                <xsd:element ref="ns2:Confidentiality" minOccurs="0"/>
                <xsd:element ref="ns2:Writer" minOccurs="0"/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Timing" minOccurs="0"/>
                <xsd:element ref="ns2:Notes" minOccurs="0"/>
                <xsd:element ref="ns2:Intervenor" minOccurs="0"/>
                <xsd:element ref="ns2:Sensitive_x002f_ELTReview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11b15-397e-47e6-b65f-8de044c3e171" elementFormDefault="qualified">
    <xsd:import namespace="http://schemas.microsoft.com/office/2006/documentManagement/types"/>
    <xsd:import namespace="http://schemas.microsoft.com/office/infopath/2007/PartnerControls"/>
    <xsd:element name="Proceeding" ma:index="8" nillable="true" ma:displayName="Proceeding" ma:default="2026-2027 GRA" ma:format="Dropdown" ma:internalName="Proceeding">
      <xsd:simpleType>
        <xsd:restriction base="dms:Choice">
          <xsd:enumeration value="2026-2027 GRA"/>
          <xsd:enumeration value="2022-2024 GRA"/>
          <xsd:enumeration value="Choice 3"/>
        </xsd:restriction>
      </xsd:simpleType>
    </xsd:element>
    <xsd:element name="LibraryType" ma:index="9" ma:displayName="Library Type" ma:format="Dropdown" ma:internalName="LibraryType">
      <xsd:simpleType>
        <xsd:restriction base="dms:Choice">
          <xsd:enumeration value="Evidence"/>
          <xsd:enumeration value="Project Management"/>
          <xsd:enumeration value="IRs"/>
          <xsd:enumeration value="Communication"/>
          <xsd:enumeration value="Settlement DRs"/>
          <xsd:enumeration value="Confidential Undertaking"/>
          <xsd:enumeration value="NSPML Evidence"/>
          <xsd:enumeration value="Settlement Agreement"/>
          <xsd:enumeration value="Choice 9"/>
        </xsd:restriction>
      </xsd:simpleType>
    </xsd:element>
    <xsd:element name="Section" ma:index="10" nillable="true" ma:displayName="Section" ma:format="Dropdown" ma:internalName="Section">
      <xsd:simpleType>
        <xsd:restriction base="dms:Choice">
          <xsd:enumeration value="01 - DE - Direct Evidence"/>
          <xsd:enumeration value="01 - DE COS -  COS Evidence"/>
          <xsd:enumeration value="02- SR - Studies &amp; Reports"/>
          <xsd:enumeration value="03- OP -  Organization Profile"/>
          <xsd:enumeration value="04- FO - Financial Outlook"/>
          <xsd:enumeration value="05- RB - Rate Base"/>
          <xsd:enumeration value="06 - DA - Depreciation and  amortization expense"/>
          <xsd:enumeration value="07 - OR - Operating Revenue"/>
          <xsd:enumeration value="08 - OE - Operating Expenses"/>
          <xsd:enumeration value="09 - CS - Capital Structure"/>
          <xsd:enumeration value="10 - PR - Proposed Rates and Regulations"/>
          <xsd:enumeration value="Settlement Discussions"/>
        </xsd:restriction>
      </xsd:simpleType>
    </xsd:element>
    <xsd:element name="Status" ma:index="11" nillable="true" ma:displayName="Status" ma:format="Dropdown" ma:internalName="Status">
      <xsd:simpleType>
        <xsd:restriction base="dms:Choice">
          <xsd:enumeration value="01- Received"/>
          <xsd:enumeration value="02a Writers - Write"/>
          <xsd:enumeration value="02b Owners - Review"/>
          <xsd:enumeration value="03 Admin Format"/>
          <xsd:enumeration value="04 Hold for Review"/>
          <xsd:enumeration value="05 Director Review"/>
          <xsd:enumeration value="06 ELT Review"/>
          <xsd:enumeration value="07 Admin Format"/>
          <xsd:enumeration value="08 Prep for filing"/>
          <xsd:enumeration value="10 Sent to Intervenors"/>
          <xsd:enumeration value="11 Final Regulatory QC"/>
          <xsd:enumeration value="11QComp -  QC complete"/>
          <xsd:enumeration value="12 Filed"/>
          <xsd:enumeration value="12 Final Working Documents"/>
          <xsd:enumeration value="12 Final Docs pdf version"/>
          <xsd:enumeration value="12 Source Documents"/>
          <xsd:enumeration value="13 Superseded"/>
        </xsd:restriction>
      </xsd:simpleType>
    </xsd:element>
    <xsd:element name="Confidentiality" ma:index="12" nillable="true" ma:displayName="Confidentiality" ma:default="Non-confidential" ma:format="Dropdown" ma:internalName="Confidentiality">
      <xsd:simpleType>
        <xsd:restriction base="dms:Choice">
          <xsd:enumeration value="Non-confidential"/>
          <xsd:enumeration value="PCON"/>
          <xsd:enumeration value="PCON AO"/>
          <xsd:enumeration value="CONF"/>
          <xsd:enumeration value="CONF AO"/>
          <xsd:enumeration value="REDACTED"/>
        </xsd:restriction>
      </xsd:simpleType>
    </xsd:element>
    <xsd:element name="Writer" ma:index="13" nillable="true" ma:displayName="Writer" ma:format="Dropdown" ma:list="UserInfo" ma:SharePointGroup="0" ma:internalName="Write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wner" ma:index="14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iming" ma:index="18" nillable="true" ma:displayName="Timing" ma:description="Timing of when DRs to be addressed" ma:format="Dropdown" ma:internalName="Timing">
      <xsd:simpleType>
        <xsd:union memberTypes="dms:Text">
          <xsd:simpleType>
            <xsd:restriction base="dms:Choice">
              <xsd:enumeration value="Before Filing"/>
              <xsd:enumeration value="Part of Filing"/>
              <xsd:enumeration value="After Filing"/>
              <xsd:enumeration value="Never"/>
              <xsd:enumeration value="Already Provided"/>
              <xsd:enumeration value="On Hold"/>
              <xsd:enumeration value="To File"/>
              <xsd:enumeration value="Response still in Progress"/>
            </xsd:restriction>
          </xsd:simpleType>
        </xsd:union>
      </xsd:simpleType>
    </xsd:element>
    <xsd:element name="Notes" ma:index="19" nillable="true" ma:displayName="Notes" ma:description="Notes / comments " ma:format="Dropdown" ma:internalName="Notes">
      <xsd:simpleType>
        <xsd:restriction base="dms:Note"/>
      </xsd:simpleType>
    </xsd:element>
    <xsd:element name="Intervenor" ma:index="20" nillable="true" ma:displayName="Intervenor" ma:list="{52c82735-21b8-4cd4-ad41-29df00ac301a}" ma:internalName="Intervenor" ma:showField="Title">
      <xsd:simpleType>
        <xsd:restriction base="dms:Lookup"/>
      </xsd:simpleType>
    </xsd:element>
    <xsd:element name="Sensitive_x002f_ELTReview_x003f_" ma:index="21" nillable="true" ma:displayName="Sensitive/ELT Review?" ma:default="0" ma:format="Dropdown" ma:internalName="Sensitive_x002f_ELTReview_x003f_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ction xmlns="ccc11b15-397e-47e6-b65f-8de044c3e171">10 - PR - Proposed Rates and Regulations</Section>
    <Timing xmlns="ccc11b15-397e-47e6-b65f-8de044c3e171" xsi:nil="true"/>
    <Confidentiality xmlns="ccc11b15-397e-47e6-b65f-8de044c3e171">Non-confidential</Confidentiality>
    <LibraryType xmlns="ccc11b15-397e-47e6-b65f-8de044c3e171">Evidence</LibraryType>
    <Proceeding xmlns="ccc11b15-397e-47e6-b65f-8de044c3e171">2026-2027 GRA</Proceeding>
    <Owner xmlns="ccc11b15-397e-47e6-b65f-8de044c3e171">
      <UserInfo>
        <DisplayName>Willett, Michael</DisplayName>
        <AccountId>25</AccountId>
        <AccountType/>
      </UserInfo>
    </Owner>
    <Writer xmlns="ccc11b15-397e-47e6-b65f-8de044c3e171">
      <UserInfo>
        <DisplayName>i:0#.f|membership|Austin.Janega@nspower.ca,#i:0#.f|membership|Austin.Janega@nspower.ca,#Austin.Janega@nspower.ca,#Austin.Janega@nspower.ca,#Janega, Austin,#,#,#</DisplayName>
        <AccountId>38</AccountId>
        <AccountType/>
      </UserInfo>
      <UserInfo>
        <DisplayName>Karynne.Munroe@nspower.ca</DisplayName>
        <AccountId>30</AccountId>
        <AccountType/>
      </UserInfo>
    </Writer>
    <Sensitive_x002f_ELTReview_x003f_ xmlns="ccc11b15-397e-47e6-b65f-8de044c3e171">false</Sensitive_x002f_ELTReview_x003f_>
    <Notes xmlns="ccc11b15-397e-47e6-b65f-8de044c3e171" xsi:nil="true"/>
    <Intervenor xmlns="ccc11b15-397e-47e6-b65f-8de044c3e171" xsi:nil="true"/>
    <Status xmlns="ccc11b15-397e-47e6-b65f-8de044c3e171">11QComp -  QC complete</Status>
  </documentManagement>
</p:properties>
</file>

<file path=customXml/itemProps1.xml><?xml version="1.0" encoding="utf-8"?>
<ds:datastoreItem xmlns:ds="http://schemas.openxmlformats.org/officeDocument/2006/customXml" ds:itemID="{330D2856-9700-47B1-88C0-AFBDB12DFDE2}"/>
</file>

<file path=customXml/itemProps2.xml><?xml version="1.0" encoding="utf-8"?>
<ds:datastoreItem xmlns:ds="http://schemas.openxmlformats.org/officeDocument/2006/customXml" ds:itemID="{5D538E13-4837-45B5-956B-2917515F844B}"/>
</file>

<file path=customXml/itemProps3.xml><?xml version="1.0" encoding="utf-8"?>
<ds:datastoreItem xmlns:ds="http://schemas.openxmlformats.org/officeDocument/2006/customXml" ds:itemID="{B2843BE3-9E84-4AFF-812B-BC63CDF155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2026-2027 GRA Opt-out Model</vt:lpstr>
      <vt:lpstr>'2026-2027 GRA Opt-out Model'!Print_Area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2025-09-17T13:08:54Z</dcterms:created>
  <dcterms:modified xsi:type="dcterms:W3CDTF">2025-09-17T13:09:04Z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0x01010009CC08870AD18C44B414A836F57CD5AD</vt:lpwstr>
  </property>
  <property fmtid="{D5CDD505-2E9C-101B-9397-08002B2CF9AE}" pid="3" name="_dlc_DocIdItemGuid">
    <vt:lpwstr>3be4c6ea-6aa7-4286-91db-bcd498563890</vt:lpwstr>
  </property>
  <property fmtid="{D5CDD505-2E9C-101B-9397-08002B2CF9AE}" pid="4" name="_ExtendedDescription">
    <vt:lpwstr>&lt;div class="ExternalClass7D063CF6A13B4783A4CEF301534A46E5"&gt;&lt;div&gt;AMI Opt-Out Model&lt;/div&gt;&lt;/div&gt;</vt:lpwstr>
  </property>
</Properties>
</file>