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ad5cd37891024299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heo/GEEG Dropbox/Theodore Love/_GEEG Clients/NSOCA/_M12499 - Time Varying Pricing Tariffs/"/>
    </mc:Choice>
  </mc:AlternateContent>
  <xr:revisionPtr revIDLastSave="0" documentId="13_ncr:1_{FAD4A500-0A69-3D4F-80C2-9F1FA3F0AD05}" xr6:coauthVersionLast="47" xr6:coauthVersionMax="47" xr10:uidLastSave="{00000000-0000-0000-0000-000000000000}"/>
  <bookViews>
    <workbookView xWindow="-43040" yWindow="-10240" windowWidth="39900" windowHeight="22920" xr2:uid="{8114F161-60D1-C043-A5E6-A6041AAB9C93}"/>
  </bookViews>
  <sheets>
    <sheet name="Comparison" sheetId="4" r:id="rId1"/>
    <sheet name="Enrollment Info" sheetId="3" r:id="rId2"/>
    <sheet name="archive" sheetId="2" state="hidden" r:id="rId3"/>
  </sheets>
  <definedNames>
    <definedName name="_ftn1" localSheetId="2">archive!$A$28</definedName>
    <definedName name="_ftn2" localSheetId="2">archive!$A$29</definedName>
    <definedName name="_ftnref1" localSheetId="2">archive!$D$1</definedName>
    <definedName name="_ftnref2" localSheetId="2">archive!$F$2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5" i="4" l="1"/>
  <c r="I31" i="4"/>
  <c r="D19" i="4"/>
  <c r="D16" i="4"/>
  <c r="D12" i="4"/>
  <c r="D9" i="4"/>
  <c r="D5" i="4"/>
  <c r="D3" i="4"/>
  <c r="C3" i="4"/>
  <c r="M19" i="4"/>
  <c r="M16" i="4"/>
  <c r="M12" i="4"/>
  <c r="M9" i="4"/>
  <c r="M6" i="4"/>
  <c r="M7" i="4"/>
  <c r="M5" i="4"/>
  <c r="M3" i="4"/>
  <c r="C5" i="4"/>
  <c r="C9" i="4"/>
  <c r="C12" i="4"/>
  <c r="C16" i="4"/>
  <c r="B23" i="4"/>
  <c r="D23" i="4" s="1"/>
  <c r="B19" i="4"/>
  <c r="B16" i="4"/>
  <c r="B12" i="4"/>
  <c r="B9" i="4"/>
  <c r="B5" i="4"/>
  <c r="B3" i="4"/>
  <c r="B4" i="3"/>
  <c r="D13" i="3"/>
  <c r="J21" i="4"/>
  <c r="K21" i="4" s="1"/>
  <c r="L21" i="4" s="1"/>
  <c r="K20" i="4"/>
  <c r="L20" i="4" s="1"/>
  <c r="K19" i="4"/>
  <c r="L19" i="4" s="1"/>
  <c r="J14" i="4"/>
  <c r="K14" i="4" s="1"/>
  <c r="L14" i="4" s="1"/>
  <c r="K17" i="4"/>
  <c r="L17" i="4" s="1"/>
  <c r="K18" i="4"/>
  <c r="L18" i="4" s="1"/>
  <c r="K16" i="4"/>
  <c r="L16" i="4" s="1"/>
  <c r="K13" i="4"/>
  <c r="L13" i="4" s="1"/>
  <c r="K12" i="4"/>
  <c r="L12" i="4" s="1"/>
  <c r="K11" i="4"/>
  <c r="L11" i="4" s="1"/>
  <c r="K10" i="4"/>
  <c r="L10" i="4" s="1"/>
  <c r="K9" i="4"/>
  <c r="L9" i="4" s="1"/>
  <c r="K5" i="4"/>
  <c r="L5" i="4" s="1"/>
  <c r="K6" i="4"/>
  <c r="L6" i="4" s="1"/>
  <c r="K7" i="4"/>
  <c r="L7" i="4" s="1"/>
  <c r="K4" i="4"/>
  <c r="L4" i="4" s="1"/>
  <c r="K3" i="4"/>
  <c r="L3" i="4" s="1"/>
  <c r="B5" i="3"/>
  <c r="D5" i="3"/>
  <c r="D7" i="3"/>
  <c r="D8" i="3"/>
  <c r="D10" i="3"/>
  <c r="D11" i="3"/>
  <c r="I5" i="2"/>
  <c r="H5" i="2"/>
  <c r="C19" i="4" l="1"/>
  <c r="C23" i="4"/>
  <c r="B14" i="3"/>
  <c r="C13" i="3" s="1"/>
  <c r="D4" i="3"/>
  <c r="C4" i="3"/>
  <c r="C11" i="3" l="1"/>
  <c r="C10" i="3"/>
  <c r="C8" i="3"/>
  <c r="C7" i="3"/>
  <c r="C5" i="3"/>
  <c r="D14" i="3"/>
  <c r="C14" i="3"/>
</calcChain>
</file>

<file path=xl/sharedStrings.xml><?xml version="1.0" encoding="utf-8"?>
<sst xmlns="http://schemas.openxmlformats.org/spreadsheetml/2006/main" count="191" uniqueCount="84">
  <si>
    <t>Domestic CPP</t>
  </si>
  <si>
    <t>General CPP</t>
  </si>
  <si>
    <t>Domestic R</t>
  </si>
  <si>
    <t>Domestic Critcal Peak</t>
  </si>
  <si>
    <t>Temporary Resolution</t>
  </si>
  <si>
    <t>Rate Period</t>
  </si>
  <si>
    <t>Rate (c/kWh)</t>
  </si>
  <si>
    <t>All Hours Non-CP</t>
  </si>
  <si>
    <t>Critical Peak Events</t>
  </si>
  <si>
    <t>Suspended</t>
  </si>
  <si>
    <t>Comparable Standard Rate</t>
  </si>
  <si>
    <t>Difference</t>
  </si>
  <si>
    <t>Impact of Temp. Resultion</t>
  </si>
  <si>
    <t>Same</t>
  </si>
  <si>
    <t>Bettter</t>
  </si>
  <si>
    <t>Worse</t>
  </si>
  <si>
    <t>Participants</t>
  </si>
  <si>
    <t>General TOU</t>
  </si>
  <si>
    <t>Small General TOU</t>
  </si>
  <si>
    <t>Small General CPP</t>
  </si>
  <si>
    <t>screenshot below does not list exact amount of Domestic TOU customers, so used "67 percent" figure on page 3 of NSPI Response October 9th, 2025. M12499 – Nova Scotia Power Inc. – Proposed Approach for the 2025/26 Time Varying Pricing Tariffs</t>
  </si>
  <si>
    <t>Domestic TOU</t>
  </si>
  <si>
    <t>Source</t>
  </si>
  <si>
    <t>% of total customers</t>
  </si>
  <si>
    <t>% of Pilot</t>
  </si>
  <si>
    <t>Approximate Current Enrollment</t>
  </si>
  <si>
    <t>Approximate Current enrollment</t>
  </si>
  <si>
    <t>Temp Solution vs. Comparable Rate</t>
  </si>
  <si>
    <t>Better</t>
  </si>
  <si>
    <t>Temporary Solution</t>
  </si>
  <si>
    <t>Difference (%)</t>
  </si>
  <si>
    <t>Difference ( c )</t>
  </si>
  <si>
    <t>All Hours</t>
  </si>
  <si>
    <t>Off-Peak</t>
  </si>
  <si>
    <t>Restoration of Normal Tariff</t>
  </si>
  <si>
    <t>October 31,2026</t>
  </si>
  <si>
    <t>March 31,2026</t>
  </si>
  <si>
    <t>On-Peak AM</t>
  </si>
  <si>
    <t>On-Peak PM</t>
  </si>
  <si>
    <t>n/a</t>
  </si>
  <si>
    <t>TVP Rate</t>
  </si>
  <si>
    <t>Notes</t>
  </si>
  <si>
    <t>Critical Peak events are suspened, therefore the rate is the same as "all hours"</t>
  </si>
  <si>
    <t>Critcal Peak Events</t>
  </si>
  <si>
    <t>First 200 kWh/month after CP</t>
  </si>
  <si>
    <t>All other</t>
  </si>
  <si>
    <t>First 200kWh</t>
  </si>
  <si>
    <t>All Other Usage</t>
  </si>
  <si>
    <t>Comparable Rate</t>
  </si>
  <si>
    <t>Rate codes 02,03,04</t>
  </si>
  <si>
    <t>Rate Code 10</t>
  </si>
  <si>
    <t>Using Avg*</t>
  </si>
  <si>
    <t>Non-Winter All hours rate</t>
  </si>
  <si>
    <t>Rate Code 11</t>
  </si>
  <si>
    <t>Temp vs. Comparable</t>
  </si>
  <si>
    <t>End of Temporary Solution</t>
  </si>
  <si>
    <t>Summary Information</t>
  </si>
  <si>
    <t>Using Avg**</t>
  </si>
  <si>
    <t>Better vs. under 200 kWh</t>
  </si>
  <si>
    <r>
      <t>Source: NSPI Response October 9</t>
    </r>
    <r>
      <rPr>
        <vertAlign val="superscript"/>
        <sz val="12"/>
        <color theme="1"/>
        <rFont val="Times New Roman"/>
        <family val="1"/>
      </rPr>
      <t>th</t>
    </r>
    <r>
      <rPr>
        <sz val="12"/>
        <color theme="1"/>
        <rFont val="Times New Roman"/>
        <family val="1"/>
      </rPr>
      <t>, 2025. M12499 – Nova Scotia Power Inc. – Proposed Approach for the 2025/26 Time Varying Pricing Tariffs, page 3</t>
    </r>
  </si>
  <si>
    <t>Used screenshot, below for the # of enrollees.  Calculated % based on total of 8000 from NSPI's response</t>
  </si>
  <si>
    <t>after 200 kWh</t>
  </si>
  <si>
    <t>Worse vs after 200 kWh</t>
  </si>
  <si>
    <t>Worse vs Average</t>
  </si>
  <si>
    <t>Approx. Current Enrollment</t>
  </si>
  <si>
    <t>First 200 kWh/mo. after CP</t>
  </si>
  <si>
    <t>* The most comparable rate is not structured exactly the same way as the Small General TOU. Rate Code 10  has a graduated structure-- 17.567 for the first 200kWh and 15.841 for all other hours. Three different comparisons are shown at left--First 200kWh, after 200kWh and the average.</t>
  </si>
  <si>
    <t>** The most comparable rate is not structured the same was as the General TOU.  Rate Code 11 has a graduated structure-- 14.287 for the first 200kWh and 10.990 for all other hours. Three different comparisons are shown at left--First 200kWh, after 200kWh and the average.</t>
  </si>
  <si>
    <t>MURB TOU</t>
  </si>
  <si>
    <t>not affected</t>
  </si>
  <si>
    <t>Multi-building residental TOU Tariff was able to continue uninterrupted using a manual calculation.  See page 7 of the NSPI Response October 9th, 2025. M12499 – Nova Scotia Power Inc. – Proposed Approach for the 2025/26 Time Varying Pricing Tariffs.</t>
  </si>
  <si>
    <t>Assuming 8000 participants (see above), calculated Domestic CCP customers by using the 8000 total and subtracting all other participants.</t>
  </si>
  <si>
    <t>Multi-Unit Residential Building TOU Pilot  is able to continue per  October 1, 2025. NSPI Letter, M12499 Exh N-1, Page 7</t>
  </si>
  <si>
    <t xml:space="preserve">+ Assumes an average annual usage of 10,000 kWh and 6 months of usage </t>
  </si>
  <si>
    <t>Estimated Collection Difference+</t>
  </si>
  <si>
    <t>NSPI 2024 Annual Report</t>
  </si>
  <si>
    <t>Residential Sales Vol (GWh)</t>
  </si>
  <si>
    <t>Value</t>
  </si>
  <si>
    <t>Source Page</t>
  </si>
  <si>
    <t>https://www.sedarplus.ca/csa-party/records/document.html?id=c168a1f15466fdf168223ab0f03ccf3e23390fdfb618c1147b46f3eebc6f4d56</t>
  </si>
  <si>
    <t>Metric</t>
  </si>
  <si>
    <t>Customer Count</t>
  </si>
  <si>
    <t>Residential Revenue ($M)</t>
  </si>
  <si>
    <t>Res Rev undercolllect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</si>
</sst>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00_);_(* \(#,##0.000\);_(* &quot;-&quot;???_);_(@_)"/>
    <numFmt numFmtId="166" formatCode="0.0000%"/>
    <numFmt numFmtId="167" formatCode="0.00000%"/>
    <numFmt numFmtId="169" formatCode="_(* #,##0_);_(* \(#,##0\);_(* &quot;-&quot;??_);_(@_)"/>
    <numFmt numFmtId="170" formatCode="_(* #,##0.000_);_(* \(#,##0.000\);_(* &quot;-&quot;??_);_(@_)"/>
    <numFmt numFmtId="172" formatCode="_(&quot;$&quot;* #,##0_);_(&quot;$&quot;* \(#,##0\);_(&quot;$&quot;* &quot;-&quot;??_);_(@_)"/>
    <numFmt numFmtId="175" formatCode="_(* #,##0_);_(* \(#,##0\);_(* &quot;-&quot;???_);_(@_)"/>
  </numFmts>
  <fonts count="12" x14ac:knownFonts="1"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b/>
      <sz val="11"/>
      <color theme="1"/>
      <name val="Aptos Narrow"/>
      <scheme val="minor"/>
    </font>
    <font>
      <b/>
      <sz val="12"/>
      <color theme="1"/>
      <name val="Aptos Narrow"/>
      <scheme val="minor"/>
    </font>
    <font>
      <sz val="8"/>
      <name val="Aptos Narrow"/>
      <family val="2"/>
      <scheme val="minor"/>
    </font>
    <font>
      <sz val="12"/>
      <color theme="1"/>
      <name val="Aptos Narrow"/>
      <scheme val="minor"/>
    </font>
    <font>
      <sz val="12"/>
      <color theme="1"/>
      <name val="Aptos Narrow"/>
      <family val="2"/>
      <scheme val="minor"/>
    </font>
    <font>
      <i/>
      <sz val="12"/>
      <color theme="1"/>
      <name val="Aptos Narrow"/>
      <scheme val="minor"/>
    </font>
    <font>
      <u/>
      <sz val="12"/>
      <color theme="1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 style="thick">
        <color auto="1"/>
      </left>
      <right/>
      <top/>
      <bottom/>
      <diagonal/>
    </border>
    <border>
      <left style="thick">
        <color theme="1"/>
      </left>
      <right/>
      <top/>
      <bottom/>
      <diagonal/>
    </border>
    <border>
      <left/>
      <right/>
      <top style="thick">
        <color auto="1"/>
      </top>
      <bottom/>
      <diagonal/>
    </border>
    <border>
      <left style="thick">
        <color theme="1"/>
      </left>
      <right/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</borders>
  <cellStyleXfs count="7">
    <xf numFmtId="0" fontId="0" fillId="0" borderId="0"/>
    <xf numFmtId="0" fontId="1" fillId="0" borderId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 applyNumberFormat="0" applyFill="0" applyBorder="0" applyAlignment="0" applyProtection="0"/>
  </cellStyleXfs>
  <cellXfs count="87">
    <xf numFmtId="0" fontId="0" fillId="0" borderId="0" xfId="0"/>
    <xf numFmtId="0" fontId="1" fillId="0" borderId="0" xfId="1"/>
    <xf numFmtId="10" fontId="0" fillId="0" borderId="0" xfId="2" applyNumberFormat="1" applyFont="1"/>
    <xf numFmtId="10" fontId="2" fillId="0" borderId="0" xfId="2" applyNumberFormat="1" applyFont="1"/>
    <xf numFmtId="0" fontId="2" fillId="0" borderId="0" xfId="1" applyFont="1"/>
    <xf numFmtId="0" fontId="5" fillId="0" borderId="0" xfId="1" applyFont="1"/>
    <xf numFmtId="0" fontId="5" fillId="0" borderId="0" xfId="1" applyFont="1" applyAlignment="1">
      <alignment wrapText="1"/>
    </xf>
    <xf numFmtId="10" fontId="6" fillId="0" borderId="0" xfId="2" applyNumberFormat="1" applyFont="1" applyAlignment="1">
      <alignment wrapText="1"/>
    </xf>
    <xf numFmtId="167" fontId="3" fillId="0" borderId="0" xfId="2" applyNumberFormat="1" applyFont="1"/>
    <xf numFmtId="167" fontId="0" fillId="0" borderId="0" xfId="2" applyNumberFormat="1" applyFont="1"/>
    <xf numFmtId="167" fontId="6" fillId="0" borderId="0" xfId="2" applyNumberFormat="1" applyFont="1" applyAlignment="1">
      <alignment wrapText="1"/>
    </xf>
    <xf numFmtId="167" fontId="2" fillId="0" borderId="0" xfId="2" applyNumberFormat="1" applyFont="1"/>
    <xf numFmtId="10" fontId="6" fillId="0" borderId="3" xfId="2" applyNumberFormat="1" applyFont="1" applyBorder="1" applyAlignment="1">
      <alignment horizontal="left" wrapText="1"/>
    </xf>
    <xf numFmtId="166" fontId="6" fillId="0" borderId="3" xfId="2" applyNumberFormat="1" applyFont="1" applyBorder="1" applyAlignment="1">
      <alignment horizontal="left" wrapText="1"/>
    </xf>
    <xf numFmtId="0" fontId="6" fillId="0" borderId="3" xfId="0" applyFont="1" applyBorder="1" applyAlignment="1">
      <alignment horizontal="left" wrapText="1"/>
    </xf>
    <xf numFmtId="0" fontId="6" fillId="0" borderId="5" xfId="0" applyFont="1" applyBorder="1" applyAlignment="1">
      <alignment horizontal="left" wrapText="1"/>
    </xf>
    <xf numFmtId="164" fontId="6" fillId="0" borderId="3" xfId="0" applyNumberFormat="1" applyFont="1" applyBorder="1" applyAlignment="1">
      <alignment horizontal="left" wrapText="1"/>
    </xf>
    <xf numFmtId="0" fontId="8" fillId="0" borderId="0" xfId="1" applyFont="1" applyAlignment="1">
      <alignment horizontal="left"/>
    </xf>
    <xf numFmtId="10" fontId="8" fillId="0" borderId="0" xfId="2" applyNumberFormat="1" applyFont="1" applyBorder="1" applyAlignment="1">
      <alignment horizontal="left"/>
    </xf>
    <xf numFmtId="166" fontId="8" fillId="0" borderId="0" xfId="2" applyNumberFormat="1" applyFont="1" applyBorder="1" applyAlignment="1">
      <alignment horizontal="left"/>
    </xf>
    <xf numFmtId="0" fontId="8" fillId="0" borderId="0" xfId="0" applyFont="1" applyAlignment="1">
      <alignment horizontal="left"/>
    </xf>
    <xf numFmtId="0" fontId="6" fillId="0" borderId="3" xfId="1" applyFont="1" applyBorder="1" applyAlignment="1">
      <alignment horizontal="left" wrapText="1"/>
    </xf>
    <xf numFmtId="0" fontId="6" fillId="0" borderId="5" xfId="1" applyFont="1" applyBorder="1" applyAlignment="1">
      <alignment horizontal="left" wrapText="1"/>
    </xf>
    <xf numFmtId="0" fontId="8" fillId="2" borderId="0" xfId="1" applyFont="1" applyFill="1" applyAlignment="1">
      <alignment horizontal="left"/>
    </xf>
    <xf numFmtId="10" fontId="8" fillId="2" borderId="0" xfId="2" applyNumberFormat="1" applyFont="1" applyFill="1" applyAlignment="1">
      <alignment horizontal="left"/>
    </xf>
    <xf numFmtId="166" fontId="8" fillId="2" borderId="0" xfId="2" applyNumberFormat="1" applyFont="1" applyFill="1" applyAlignment="1">
      <alignment horizontal="left"/>
    </xf>
    <xf numFmtId="0" fontId="8" fillId="2" borderId="0" xfId="0" applyFont="1" applyFill="1" applyAlignment="1">
      <alignment horizontal="left"/>
    </xf>
    <xf numFmtId="0" fontId="8" fillId="2" borderId="1" xfId="0" applyFont="1" applyFill="1" applyBorder="1" applyAlignment="1">
      <alignment horizontal="left"/>
    </xf>
    <xf numFmtId="164" fontId="8" fillId="2" borderId="0" xfId="0" applyNumberFormat="1" applyFont="1" applyFill="1" applyAlignment="1">
      <alignment horizontal="left"/>
    </xf>
    <xf numFmtId="0" fontId="8" fillId="2" borderId="1" xfId="1" applyFont="1" applyFill="1" applyBorder="1" applyAlignment="1">
      <alignment horizontal="left"/>
    </xf>
    <xf numFmtId="0" fontId="8" fillId="3" borderId="0" xfId="1" applyFont="1" applyFill="1" applyAlignment="1">
      <alignment horizontal="left"/>
    </xf>
    <xf numFmtId="10" fontId="8" fillId="3" borderId="0" xfId="2" applyNumberFormat="1" applyFont="1" applyFill="1" applyAlignment="1">
      <alignment horizontal="left"/>
    </xf>
    <xf numFmtId="166" fontId="8" fillId="3" borderId="0" xfId="2" applyNumberFormat="1" applyFont="1" applyFill="1" applyAlignment="1">
      <alignment horizontal="left"/>
    </xf>
    <xf numFmtId="0" fontId="8" fillId="3" borderId="0" xfId="0" applyFont="1" applyFill="1" applyAlignment="1">
      <alignment horizontal="left"/>
    </xf>
    <xf numFmtId="0" fontId="8" fillId="3" borderId="1" xfId="0" applyFont="1" applyFill="1" applyBorder="1" applyAlignment="1">
      <alignment horizontal="left"/>
    </xf>
    <xf numFmtId="164" fontId="8" fillId="3" borderId="0" xfId="0" applyNumberFormat="1" applyFont="1" applyFill="1" applyAlignment="1">
      <alignment horizontal="left"/>
    </xf>
    <xf numFmtId="0" fontId="8" fillId="3" borderId="1" xfId="1" applyFont="1" applyFill="1" applyBorder="1" applyAlignment="1">
      <alignment horizontal="left"/>
    </xf>
    <xf numFmtId="164" fontId="8" fillId="2" borderId="0" xfId="1" applyNumberFormat="1" applyFont="1" applyFill="1" applyAlignment="1">
      <alignment horizontal="left"/>
    </xf>
    <xf numFmtId="164" fontId="8" fillId="3" borderId="0" xfId="1" applyNumberFormat="1" applyFont="1" applyFill="1" applyAlignment="1">
      <alignment horizontal="left"/>
    </xf>
    <xf numFmtId="0" fontId="8" fillId="0" borderId="0" xfId="1" applyFont="1" applyAlignment="1">
      <alignment horizontal="left" wrapText="1"/>
    </xf>
    <xf numFmtId="164" fontId="8" fillId="0" borderId="0" xfId="0" applyNumberFormat="1" applyFont="1" applyAlignment="1">
      <alignment horizontal="left"/>
    </xf>
    <xf numFmtId="0" fontId="6" fillId="0" borderId="0" xfId="1" applyFont="1" applyAlignment="1">
      <alignment horizontal="left"/>
    </xf>
    <xf numFmtId="10" fontId="6" fillId="0" borderId="0" xfId="2" applyNumberFormat="1" applyFont="1" applyBorder="1" applyAlignment="1">
      <alignment horizontal="left"/>
    </xf>
    <xf numFmtId="166" fontId="6" fillId="0" borderId="0" xfId="2" applyNumberFormat="1" applyFont="1" applyBorder="1" applyAlignment="1">
      <alignment horizontal="left"/>
    </xf>
    <xf numFmtId="10" fontId="8" fillId="2" borderId="0" xfId="0" applyNumberFormat="1" applyFont="1" applyFill="1" applyAlignment="1">
      <alignment horizontal="right"/>
    </xf>
    <xf numFmtId="10" fontId="8" fillId="3" borderId="0" xfId="0" applyNumberFormat="1" applyFont="1" applyFill="1" applyAlignment="1">
      <alignment horizontal="right"/>
    </xf>
    <xf numFmtId="10" fontId="8" fillId="0" borderId="0" xfId="0" applyNumberFormat="1" applyFont="1" applyAlignment="1">
      <alignment horizontal="right"/>
    </xf>
    <xf numFmtId="10" fontId="8" fillId="0" borderId="0" xfId="1" applyNumberFormat="1" applyFont="1" applyAlignment="1">
      <alignment horizontal="right"/>
    </xf>
    <xf numFmtId="164" fontId="8" fillId="2" borderId="1" xfId="0" applyNumberFormat="1" applyFont="1" applyFill="1" applyBorder="1" applyAlignment="1">
      <alignment horizontal="right"/>
    </xf>
    <xf numFmtId="164" fontId="8" fillId="3" borderId="1" xfId="0" applyNumberFormat="1" applyFont="1" applyFill="1" applyBorder="1" applyAlignment="1">
      <alignment horizontal="right"/>
    </xf>
    <xf numFmtId="164" fontId="8" fillId="0" borderId="0" xfId="0" applyNumberFormat="1" applyFont="1" applyAlignment="1">
      <alignment horizontal="right"/>
    </xf>
    <xf numFmtId="43" fontId="6" fillId="0" borderId="6" xfId="0" applyNumberFormat="1" applyFont="1" applyBorder="1" applyAlignment="1">
      <alignment horizontal="left" wrapText="1"/>
    </xf>
    <xf numFmtId="164" fontId="8" fillId="3" borderId="0" xfId="0" applyNumberFormat="1" applyFont="1" applyFill="1" applyAlignment="1">
      <alignment horizontal="right"/>
    </xf>
    <xf numFmtId="0" fontId="8" fillId="3" borderId="0" xfId="1" applyFont="1" applyFill="1" applyAlignment="1">
      <alignment horizontal="left" vertical="center" wrapText="1"/>
    </xf>
    <xf numFmtId="0" fontId="8" fillId="2" borderId="1" xfId="1" applyFont="1" applyFill="1" applyBorder="1" applyAlignment="1">
      <alignment horizontal="left" wrapText="1"/>
    </xf>
    <xf numFmtId="0" fontId="6" fillId="0" borderId="6" xfId="1" applyFont="1" applyBorder="1" applyAlignment="1">
      <alignment horizontal="left"/>
    </xf>
    <xf numFmtId="0" fontId="8" fillId="3" borderId="1" xfId="1" applyFont="1" applyFill="1" applyBorder="1" applyAlignment="1">
      <alignment horizontal="left" vertical="center" wrapText="1"/>
    </xf>
    <xf numFmtId="0" fontId="8" fillId="2" borderId="1" xfId="1" applyFont="1" applyFill="1" applyBorder="1" applyAlignment="1">
      <alignment horizontal="left" vertical="top" wrapText="1"/>
    </xf>
    <xf numFmtId="0" fontId="6" fillId="0" borderId="6" xfId="0" applyFont="1" applyBorder="1" applyAlignment="1">
      <alignment horizontal="left"/>
    </xf>
    <xf numFmtId="43" fontId="6" fillId="0" borderId="6" xfId="0" applyNumberFormat="1" applyFont="1" applyBorder="1" applyAlignment="1">
      <alignment horizontal="left" wrapText="1"/>
    </xf>
    <xf numFmtId="169" fontId="8" fillId="2" borderId="2" xfId="3" applyNumberFormat="1" applyFont="1" applyFill="1" applyBorder="1" applyAlignment="1">
      <alignment horizontal="left"/>
    </xf>
    <xf numFmtId="169" fontId="8" fillId="3" borderId="2" xfId="3" applyNumberFormat="1" applyFont="1" applyFill="1" applyBorder="1" applyAlignment="1">
      <alignment horizontal="left"/>
    </xf>
    <xf numFmtId="169" fontId="8" fillId="3" borderId="0" xfId="3" applyNumberFormat="1" applyFont="1" applyFill="1" applyAlignment="1">
      <alignment horizontal="left"/>
    </xf>
    <xf numFmtId="169" fontId="6" fillId="0" borderId="0" xfId="3" applyNumberFormat="1" applyFont="1" applyAlignment="1">
      <alignment horizontal="left"/>
    </xf>
    <xf numFmtId="169" fontId="8" fillId="0" borderId="0" xfId="3" applyNumberFormat="1" applyFont="1" applyAlignment="1">
      <alignment horizontal="left"/>
    </xf>
    <xf numFmtId="169" fontId="6" fillId="0" borderId="4" xfId="3" applyNumberFormat="1" applyFont="1" applyBorder="1" applyAlignment="1">
      <alignment horizontal="right" wrapText="1"/>
    </xf>
    <xf numFmtId="0" fontId="8" fillId="4" borderId="0" xfId="0" applyFont="1" applyFill="1" applyAlignment="1">
      <alignment horizontal="left"/>
    </xf>
    <xf numFmtId="0" fontId="8" fillId="5" borderId="0" xfId="0" applyFont="1" applyFill="1" applyAlignment="1">
      <alignment horizontal="left"/>
    </xf>
    <xf numFmtId="0" fontId="8" fillId="6" borderId="0" xfId="0" applyFont="1" applyFill="1" applyAlignment="1">
      <alignment horizontal="left"/>
    </xf>
    <xf numFmtId="0" fontId="8" fillId="6" borderId="0" xfId="1" applyFont="1" applyFill="1" applyAlignment="1">
      <alignment horizontal="left"/>
    </xf>
    <xf numFmtId="164" fontId="6" fillId="0" borderId="5" xfId="0" applyNumberFormat="1" applyFont="1" applyBorder="1" applyAlignment="1">
      <alignment horizontal="right" wrapText="1"/>
    </xf>
    <xf numFmtId="10" fontId="6" fillId="0" borderId="3" xfId="0" applyNumberFormat="1" applyFont="1" applyBorder="1" applyAlignment="1">
      <alignment horizontal="right" wrapText="1"/>
    </xf>
    <xf numFmtId="170" fontId="6" fillId="0" borderId="3" xfId="3" applyNumberFormat="1" applyFont="1" applyBorder="1" applyAlignment="1">
      <alignment horizontal="right" wrapText="1"/>
    </xf>
    <xf numFmtId="170" fontId="8" fillId="2" borderId="0" xfId="3" applyNumberFormat="1" applyFont="1" applyFill="1" applyAlignment="1">
      <alignment horizontal="right"/>
    </xf>
    <xf numFmtId="170" fontId="8" fillId="3" borderId="0" xfId="3" applyNumberFormat="1" applyFont="1" applyFill="1" applyAlignment="1">
      <alignment horizontal="right"/>
    </xf>
    <xf numFmtId="170" fontId="8" fillId="0" borderId="0" xfId="3" applyNumberFormat="1" applyFont="1" applyAlignment="1">
      <alignment horizontal="left"/>
    </xf>
    <xf numFmtId="170" fontId="8" fillId="2" borderId="0" xfId="3" applyNumberFormat="1" applyFont="1" applyFill="1" applyAlignment="1">
      <alignment horizontal="left"/>
    </xf>
    <xf numFmtId="170" fontId="8" fillId="3" borderId="0" xfId="3" applyNumberFormat="1" applyFont="1" applyFill="1" applyAlignment="1">
      <alignment horizontal="left"/>
    </xf>
    <xf numFmtId="0" fontId="10" fillId="0" borderId="0" xfId="1" quotePrefix="1" applyFont="1" applyAlignment="1">
      <alignment horizontal="left"/>
    </xf>
    <xf numFmtId="172" fontId="8" fillId="2" borderId="0" xfId="4" applyNumberFormat="1" applyFont="1" applyFill="1" applyAlignment="1">
      <alignment horizontal="right"/>
    </xf>
    <xf numFmtId="172" fontId="8" fillId="3" borderId="0" xfId="4" applyNumberFormat="1" applyFont="1" applyFill="1" applyAlignment="1">
      <alignment horizontal="right"/>
    </xf>
    <xf numFmtId="0" fontId="11" fillId="0" borderId="0" xfId="6" applyAlignment="1">
      <alignment horizontal="left"/>
    </xf>
    <xf numFmtId="0" fontId="6" fillId="0" borderId="0" xfId="0" applyFont="1" applyAlignment="1">
      <alignment horizontal="left"/>
    </xf>
    <xf numFmtId="175" fontId="8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right"/>
    </xf>
    <xf numFmtId="172" fontId="8" fillId="0" borderId="0" xfId="0" applyNumberFormat="1" applyFont="1" applyAlignment="1">
      <alignment horizontal="right"/>
    </xf>
    <xf numFmtId="166" fontId="8" fillId="0" borderId="0" xfId="5" applyNumberFormat="1" applyFont="1" applyAlignment="1">
      <alignment horizontal="right"/>
    </xf>
  </cellXfs>
  <cellStyles count="7">
    <cellStyle name="Comma" xfId="3" builtinId="3"/>
    <cellStyle name="Currency" xfId="4" builtinId="4"/>
    <cellStyle name="Hyperlink" xfId="6" builtinId="8"/>
    <cellStyle name="Normal" xfId="0" builtinId="0"/>
    <cellStyle name="Normal 2" xfId="1" xr:uid="{72DDA7DC-8996-634B-AE2A-CC612F12B526}"/>
    <cellStyle name="Percent" xfId="5" builtinId="5"/>
    <cellStyle name="Percent 2" xfId="2" xr:uid="{6F079083-CDBE-4A42-888B-7D0B4750A8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68384</xdr:colOff>
      <xdr:row>15</xdr:row>
      <xdr:rowOff>9769</xdr:rowOff>
    </xdr:from>
    <xdr:ext cx="7099935" cy="4136390"/>
    <xdr:pic>
      <xdr:nvPicPr>
        <xdr:cNvPr id="2" name="Picture 1" descr="A screenshot of a document&#10;&#10;AI-generated content may be incorrect.">
          <a:extLst>
            <a:ext uri="{FF2B5EF4-FFF2-40B4-BE49-F238E27FC236}">
              <a16:creationId xmlns:a16="http://schemas.microsoft.com/office/drawing/2014/main" id="{1BF211E4-EAC8-5440-8719-717228EE05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384" y="2676769"/>
          <a:ext cx="7099935" cy="413639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edarplus.ca/csa-party/records/document.html?id=c168a1f15466fdf168223ab0f03ccf3e23390fdfb618c1147b46f3eebc6f4d56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639C4-6C24-9847-9E6F-3B643B651D28}">
  <dimension ref="A1:Q35"/>
  <sheetViews>
    <sheetView tabSelected="1" zoomScale="130" zoomScaleNormal="13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I32" sqref="I32"/>
    </sheetView>
  </sheetViews>
  <sheetFormatPr baseColWidth="10" defaultColWidth="8.83203125" defaultRowHeight="16" x14ac:dyDescent="0.2"/>
  <cols>
    <col min="1" max="1" width="16.6640625" style="17" customWidth="1"/>
    <col min="2" max="2" width="12.6640625" style="64" customWidth="1"/>
    <col min="3" max="3" width="8.83203125" style="18"/>
    <col min="4" max="4" width="9.5" style="19" customWidth="1"/>
    <col min="5" max="5" width="21.5" style="20" bestFit="1" customWidth="1"/>
    <col min="6" max="6" width="23.1640625" style="20" customWidth="1"/>
    <col min="7" max="7" width="12.5" style="40" customWidth="1"/>
    <col min="8" max="8" width="19.1640625" style="20" bestFit="1" customWidth="1"/>
    <col min="9" max="9" width="13.1640625" style="40" customWidth="1"/>
    <col min="10" max="10" width="13.33203125" style="75" bestFit="1" customWidth="1"/>
    <col min="11" max="11" width="10.1640625" style="50" customWidth="1"/>
    <col min="12" max="12" width="11.1640625" style="47" customWidth="1"/>
    <col min="13" max="13" width="15" style="47" customWidth="1"/>
    <col min="14" max="14" width="16.1640625" style="17" customWidth="1"/>
    <col min="15" max="15" width="27" style="17" customWidth="1"/>
    <col min="16" max="16" width="27" style="75" customWidth="1"/>
    <col min="17" max="17" width="64.1640625" style="17" customWidth="1"/>
    <col min="18" max="16384" width="8.83203125" style="17"/>
  </cols>
  <sheetData>
    <row r="1" spans="1:17" ht="16" customHeight="1" thickBot="1" x14ac:dyDescent="0.25">
      <c r="B1" s="55" t="s">
        <v>56</v>
      </c>
      <c r="C1" s="55"/>
      <c r="D1" s="55"/>
      <c r="E1" s="55"/>
      <c r="F1" s="58" t="s">
        <v>29</v>
      </c>
      <c r="G1" s="58"/>
      <c r="H1" s="58" t="s">
        <v>10</v>
      </c>
      <c r="I1" s="58"/>
      <c r="K1" s="59" t="s">
        <v>54</v>
      </c>
      <c r="L1" s="59"/>
      <c r="M1" s="51"/>
      <c r="N1" s="55" t="s">
        <v>55</v>
      </c>
      <c r="O1" s="55"/>
      <c r="P1" s="55"/>
    </row>
    <row r="2" spans="1:17" s="39" customFormat="1" ht="51" customHeight="1" thickTop="1" x14ac:dyDescent="0.2">
      <c r="A2" s="21" t="s">
        <v>40</v>
      </c>
      <c r="B2" s="65" t="s">
        <v>64</v>
      </c>
      <c r="C2" s="12" t="s">
        <v>24</v>
      </c>
      <c r="D2" s="13" t="s">
        <v>23</v>
      </c>
      <c r="E2" s="14" t="s">
        <v>27</v>
      </c>
      <c r="F2" s="15" t="s">
        <v>5</v>
      </c>
      <c r="G2" s="16" t="s">
        <v>6</v>
      </c>
      <c r="H2" s="15" t="s">
        <v>48</v>
      </c>
      <c r="I2" s="14" t="s">
        <v>5</v>
      </c>
      <c r="J2" s="72" t="s">
        <v>6</v>
      </c>
      <c r="K2" s="70" t="s">
        <v>31</v>
      </c>
      <c r="L2" s="71" t="s">
        <v>30</v>
      </c>
      <c r="M2" s="71" t="s">
        <v>74</v>
      </c>
      <c r="N2" s="22" t="s">
        <v>34</v>
      </c>
      <c r="O2" s="14" t="s">
        <v>5</v>
      </c>
      <c r="P2" s="72" t="s">
        <v>6</v>
      </c>
      <c r="Q2" s="22" t="s">
        <v>41</v>
      </c>
    </row>
    <row r="3" spans="1:17" x14ac:dyDescent="0.2">
      <c r="A3" s="23" t="s">
        <v>0</v>
      </c>
      <c r="B3" s="60">
        <f>_xlfn.XLOOKUP(A3,'Enrollment Info'!$A$4:$A$13,'Enrollment Info'!$B$4:$B$13,"")</f>
        <v>2558</v>
      </c>
      <c r="C3" s="24">
        <f>B3/$B$25</f>
        <v>0.31974999999999998</v>
      </c>
      <c r="D3" s="25">
        <f>B3/$G$30</f>
        <v>4.5924596050269297E-3</v>
      </c>
      <c r="E3" s="66" t="s">
        <v>28</v>
      </c>
      <c r="F3" s="27" t="s">
        <v>7</v>
      </c>
      <c r="G3" s="28">
        <v>14.22</v>
      </c>
      <c r="H3" s="27" t="s">
        <v>49</v>
      </c>
      <c r="I3" s="26" t="s">
        <v>32</v>
      </c>
      <c r="J3" s="76">
        <v>16.931000000000001</v>
      </c>
      <c r="K3" s="48">
        <f>G3-J3</f>
        <v>-2.7110000000000003</v>
      </c>
      <c r="L3" s="44">
        <f>K3/J3</f>
        <v>-0.16012048904376588</v>
      </c>
      <c r="M3" s="79">
        <f>10000/12*6*B3*K3/100</f>
        <v>-346736.90000000008</v>
      </c>
      <c r="N3" s="29" t="s">
        <v>35</v>
      </c>
      <c r="O3" s="26" t="s">
        <v>7</v>
      </c>
      <c r="P3" s="73">
        <v>14.222</v>
      </c>
      <c r="Q3" s="57" t="s">
        <v>42</v>
      </c>
    </row>
    <row r="4" spans="1:17" x14ac:dyDescent="0.2">
      <c r="A4" s="23"/>
      <c r="B4" s="60"/>
      <c r="C4" s="24"/>
      <c r="D4" s="25"/>
      <c r="E4" s="66" t="s">
        <v>28</v>
      </c>
      <c r="F4" s="27" t="s">
        <v>8</v>
      </c>
      <c r="G4" s="28">
        <v>14.22</v>
      </c>
      <c r="H4" s="27" t="s">
        <v>49</v>
      </c>
      <c r="I4" s="26" t="s">
        <v>32</v>
      </c>
      <c r="J4" s="76">
        <v>16.931000000000001</v>
      </c>
      <c r="K4" s="48">
        <f>G4-J4</f>
        <v>-2.7110000000000003</v>
      </c>
      <c r="L4" s="44">
        <f t="shared" ref="L4" si="0">K4/J4</f>
        <v>-0.16012048904376588</v>
      </c>
      <c r="M4" s="79"/>
      <c r="N4" s="29"/>
      <c r="O4" s="26" t="s">
        <v>8</v>
      </c>
      <c r="P4" s="73">
        <v>169.31</v>
      </c>
      <c r="Q4" s="57"/>
    </row>
    <row r="5" spans="1:17" x14ac:dyDescent="0.2">
      <c r="A5" s="30" t="s">
        <v>21</v>
      </c>
      <c r="B5" s="61">
        <f>_xlfn.XLOOKUP(A5,'Enrollment Info'!$A$4:$A$13,'Enrollment Info'!$B$4:$B$13,"")</f>
        <v>5360</v>
      </c>
      <c r="C5" s="31">
        <f t="shared" ref="C5:C23" si="1">B5/$B$25</f>
        <v>0.67</v>
      </c>
      <c r="D5" s="32">
        <f>B5/$G$30</f>
        <v>9.6229802513464989E-3</v>
      </c>
      <c r="E5" s="67" t="s">
        <v>13</v>
      </c>
      <c r="F5" s="34" t="s">
        <v>33</v>
      </c>
      <c r="G5" s="35">
        <v>16.931000000000001</v>
      </c>
      <c r="H5" s="34" t="s">
        <v>49</v>
      </c>
      <c r="I5" s="33" t="s">
        <v>32</v>
      </c>
      <c r="J5" s="77">
        <v>16.931000000000001</v>
      </c>
      <c r="K5" s="49">
        <f>G5-J5</f>
        <v>0</v>
      </c>
      <c r="L5" s="45">
        <f t="shared" ref="L5:L7" si="2">K5/J5</f>
        <v>0</v>
      </c>
      <c r="M5" s="80">
        <f>10000/12*6*B5*K5/100</f>
        <v>0</v>
      </c>
      <c r="N5" s="36" t="s">
        <v>36</v>
      </c>
      <c r="O5" s="30" t="s">
        <v>39</v>
      </c>
      <c r="P5" s="74" t="s">
        <v>39</v>
      </c>
      <c r="Q5" s="36"/>
    </row>
    <row r="6" spans="1:17" x14ac:dyDescent="0.2">
      <c r="A6" s="30"/>
      <c r="B6" s="61"/>
      <c r="C6" s="31"/>
      <c r="D6" s="32"/>
      <c r="E6" s="67" t="s">
        <v>13</v>
      </c>
      <c r="F6" s="36" t="s">
        <v>37</v>
      </c>
      <c r="G6" s="35">
        <v>16.931000000000001</v>
      </c>
      <c r="H6" s="34" t="s">
        <v>49</v>
      </c>
      <c r="I6" s="33" t="s">
        <v>32</v>
      </c>
      <c r="J6" s="77">
        <v>16.931000000000001</v>
      </c>
      <c r="K6" s="49">
        <f>G6-J6</f>
        <v>0</v>
      </c>
      <c r="L6" s="45">
        <f t="shared" si="2"/>
        <v>0</v>
      </c>
      <c r="M6" s="80">
        <f t="shared" ref="M6:M7" si="3">10000/12*6*B6*K6/100</f>
        <v>0</v>
      </c>
      <c r="N6" s="36"/>
      <c r="O6" s="30" t="s">
        <v>39</v>
      </c>
      <c r="P6" s="74" t="s">
        <v>39</v>
      </c>
      <c r="Q6" s="36"/>
    </row>
    <row r="7" spans="1:17" x14ac:dyDescent="0.2">
      <c r="A7" s="30"/>
      <c r="B7" s="61"/>
      <c r="C7" s="31"/>
      <c r="D7" s="32"/>
      <c r="E7" s="67" t="s">
        <v>13</v>
      </c>
      <c r="F7" s="36" t="s">
        <v>38</v>
      </c>
      <c r="G7" s="35">
        <v>16.931000000000001</v>
      </c>
      <c r="H7" s="34" t="s">
        <v>49</v>
      </c>
      <c r="I7" s="33" t="s">
        <v>32</v>
      </c>
      <c r="J7" s="77">
        <v>16.931000000000001</v>
      </c>
      <c r="K7" s="49">
        <f>G7-J7</f>
        <v>0</v>
      </c>
      <c r="L7" s="45">
        <f t="shared" si="2"/>
        <v>0</v>
      </c>
      <c r="M7" s="80">
        <f t="shared" si="3"/>
        <v>0</v>
      </c>
      <c r="N7" s="36"/>
      <c r="O7" s="30" t="s">
        <v>39</v>
      </c>
      <c r="P7" s="74" t="s">
        <v>39</v>
      </c>
      <c r="Q7" s="36"/>
    </row>
    <row r="8" spans="1:17" x14ac:dyDescent="0.2">
      <c r="A8" s="30"/>
      <c r="B8" s="61"/>
      <c r="C8" s="31"/>
      <c r="D8" s="32"/>
      <c r="E8" s="67"/>
      <c r="F8" s="36" t="s">
        <v>52</v>
      </c>
      <c r="G8" s="35" t="s">
        <v>39</v>
      </c>
      <c r="H8" s="34"/>
      <c r="I8" s="30"/>
      <c r="J8" s="77"/>
      <c r="K8" s="49"/>
      <c r="L8" s="45"/>
      <c r="M8" s="45"/>
      <c r="N8" s="36"/>
      <c r="O8" s="30" t="s">
        <v>52</v>
      </c>
      <c r="P8" s="74">
        <v>11.426</v>
      </c>
      <c r="Q8" s="36"/>
    </row>
    <row r="9" spans="1:17" x14ac:dyDescent="0.2">
      <c r="A9" s="23" t="s">
        <v>19</v>
      </c>
      <c r="B9" s="60">
        <f>_xlfn.XLOOKUP(A9,'Enrollment Info'!$A$4:$A$13,'Enrollment Info'!$B$4:$B$13,"")</f>
        <v>4</v>
      </c>
      <c r="C9" s="24">
        <f t="shared" si="1"/>
        <v>5.0000000000000001E-4</v>
      </c>
      <c r="D9" s="25">
        <f>B9/$G$30</f>
        <v>7.1813285457809693E-6</v>
      </c>
      <c r="E9" s="66" t="s">
        <v>28</v>
      </c>
      <c r="F9" s="29" t="s">
        <v>43</v>
      </c>
      <c r="G9" s="37">
        <v>15.484999999999999</v>
      </c>
      <c r="H9" s="29" t="s">
        <v>50</v>
      </c>
      <c r="I9" s="23" t="s">
        <v>46</v>
      </c>
      <c r="J9" s="76">
        <v>17.567</v>
      </c>
      <c r="K9" s="48">
        <f t="shared" ref="K9:K14" si="4">G9-J9</f>
        <v>-2.0820000000000007</v>
      </c>
      <c r="L9" s="44">
        <f t="shared" ref="L9" si="5">K9/J9</f>
        <v>-0.11851767518642914</v>
      </c>
      <c r="M9" s="79">
        <f>10000/12*6*B9*K9/100</f>
        <v>-416.40000000000015</v>
      </c>
      <c r="N9" s="29" t="s">
        <v>35</v>
      </c>
      <c r="O9" s="23" t="s">
        <v>43</v>
      </c>
      <c r="P9" s="73">
        <v>144.60400000000001</v>
      </c>
      <c r="Q9" s="29"/>
    </row>
    <row r="10" spans="1:17" x14ac:dyDescent="0.2">
      <c r="A10" s="23"/>
      <c r="B10" s="60"/>
      <c r="C10" s="24"/>
      <c r="D10" s="25"/>
      <c r="E10" s="66" t="s">
        <v>28</v>
      </c>
      <c r="F10" s="29" t="s">
        <v>65</v>
      </c>
      <c r="G10" s="37">
        <v>15.484999999999999</v>
      </c>
      <c r="H10" s="29" t="s">
        <v>50</v>
      </c>
      <c r="I10" s="23" t="s">
        <v>46</v>
      </c>
      <c r="J10" s="76">
        <v>17.567</v>
      </c>
      <c r="K10" s="48">
        <f t="shared" si="4"/>
        <v>-2.0820000000000007</v>
      </c>
      <c r="L10" s="44">
        <f t="shared" ref="L10" si="6">K10/J10</f>
        <v>-0.11851767518642914</v>
      </c>
      <c r="M10" s="44"/>
      <c r="N10" s="29"/>
      <c r="O10" s="23" t="s">
        <v>44</v>
      </c>
      <c r="P10" s="73">
        <v>15.484999999999999</v>
      </c>
      <c r="Q10" s="29"/>
    </row>
    <row r="11" spans="1:17" x14ac:dyDescent="0.2">
      <c r="A11" s="23"/>
      <c r="B11" s="60"/>
      <c r="C11" s="24"/>
      <c r="D11" s="25"/>
      <c r="E11" s="66" t="s">
        <v>28</v>
      </c>
      <c r="F11" s="29" t="s">
        <v>45</v>
      </c>
      <c r="G11" s="37">
        <v>14.14</v>
      </c>
      <c r="H11" s="29" t="s">
        <v>50</v>
      </c>
      <c r="I11" s="23" t="s">
        <v>47</v>
      </c>
      <c r="J11" s="76">
        <v>15.840999999999999</v>
      </c>
      <c r="K11" s="48">
        <f t="shared" si="4"/>
        <v>-1.7009999999999987</v>
      </c>
      <c r="L11" s="44">
        <f t="shared" ref="L11" si="7">K11/J11</f>
        <v>-0.10737958462218287</v>
      </c>
      <c r="M11" s="44"/>
      <c r="N11" s="29"/>
      <c r="O11" s="23" t="s">
        <v>45</v>
      </c>
      <c r="P11" s="73">
        <v>14.14</v>
      </c>
      <c r="Q11" s="29"/>
    </row>
    <row r="12" spans="1:17" ht="16" customHeight="1" x14ac:dyDescent="0.2">
      <c r="A12" s="30" t="s">
        <v>18</v>
      </c>
      <c r="B12" s="61">
        <f>_xlfn.XLOOKUP(A12,'Enrollment Info'!$A$4:$A$13,'Enrollment Info'!$B$4:$B$13,"")</f>
        <v>42</v>
      </c>
      <c r="C12" s="31">
        <f t="shared" si="1"/>
        <v>5.2500000000000003E-3</v>
      </c>
      <c r="D12" s="32">
        <f>B12/$G$30</f>
        <v>7.5403949730700181E-5</v>
      </c>
      <c r="E12" s="66" t="s">
        <v>58</v>
      </c>
      <c r="F12" s="34" t="s">
        <v>33</v>
      </c>
      <c r="G12" s="38">
        <v>17.550999999999998</v>
      </c>
      <c r="H12" s="34" t="s">
        <v>50</v>
      </c>
      <c r="I12" s="33" t="s">
        <v>46</v>
      </c>
      <c r="J12" s="77">
        <v>17.567</v>
      </c>
      <c r="K12" s="49">
        <f t="shared" si="4"/>
        <v>-1.6000000000001791E-2</v>
      </c>
      <c r="L12" s="45">
        <f t="shared" ref="L12:L14" si="8">K12/J12</f>
        <v>-9.1079865657208348E-4</v>
      </c>
      <c r="M12" s="80">
        <f>10000/12*6*B12*K12/100</f>
        <v>-33.60000000000376</v>
      </c>
      <c r="N12" s="36" t="s">
        <v>36</v>
      </c>
      <c r="O12" s="30" t="s">
        <v>39</v>
      </c>
      <c r="P12" s="74" t="s">
        <v>39</v>
      </c>
      <c r="Q12" s="56" t="s">
        <v>66</v>
      </c>
    </row>
    <row r="13" spans="1:17" x14ac:dyDescent="0.2">
      <c r="A13" s="30"/>
      <c r="B13" s="61"/>
      <c r="C13" s="31"/>
      <c r="D13" s="32"/>
      <c r="E13" s="68" t="s">
        <v>62</v>
      </c>
      <c r="F13" s="36" t="s">
        <v>37</v>
      </c>
      <c r="G13" s="38">
        <v>17.550999999999998</v>
      </c>
      <c r="H13" s="34" t="s">
        <v>50</v>
      </c>
      <c r="I13" s="33" t="s">
        <v>61</v>
      </c>
      <c r="J13" s="77">
        <v>15.840999999999999</v>
      </c>
      <c r="K13" s="49">
        <f t="shared" si="4"/>
        <v>1.7099999999999991</v>
      </c>
      <c r="L13" s="45">
        <f t="shared" si="8"/>
        <v>0.10794773057256481</v>
      </c>
      <c r="M13" s="45"/>
      <c r="N13" s="36"/>
      <c r="O13" s="30" t="s">
        <v>39</v>
      </c>
      <c r="P13" s="74" t="s">
        <v>39</v>
      </c>
      <c r="Q13" s="56"/>
    </row>
    <row r="14" spans="1:17" x14ac:dyDescent="0.2">
      <c r="A14" s="30"/>
      <c r="B14" s="61"/>
      <c r="C14" s="31"/>
      <c r="D14" s="32"/>
      <c r="E14" s="68" t="s">
        <v>63</v>
      </c>
      <c r="F14" s="36" t="s">
        <v>38</v>
      </c>
      <c r="G14" s="38">
        <v>17.550999999999998</v>
      </c>
      <c r="H14" s="34" t="s">
        <v>50</v>
      </c>
      <c r="I14" s="30" t="s">
        <v>51</v>
      </c>
      <c r="J14" s="77">
        <f t="shared" ref="J14" si="9">AVERAGE(17.567,15.841)</f>
        <v>16.704000000000001</v>
      </c>
      <c r="K14" s="49">
        <f t="shared" si="4"/>
        <v>0.84699999999999775</v>
      </c>
      <c r="L14" s="45">
        <f t="shared" si="8"/>
        <v>5.0706417624520939E-2</v>
      </c>
      <c r="M14" s="45"/>
      <c r="N14" s="36"/>
      <c r="O14" s="30" t="s">
        <v>39</v>
      </c>
      <c r="P14" s="74" t="s">
        <v>39</v>
      </c>
      <c r="Q14" s="56"/>
    </row>
    <row r="15" spans="1:17" x14ac:dyDescent="0.2">
      <c r="A15" s="30"/>
      <c r="B15" s="61"/>
      <c r="C15" s="31"/>
      <c r="D15" s="32"/>
      <c r="E15" s="69"/>
      <c r="F15" s="36" t="s">
        <v>52</v>
      </c>
      <c r="G15" s="33" t="s">
        <v>39</v>
      </c>
      <c r="H15" s="34"/>
      <c r="I15" s="33"/>
      <c r="J15" s="77"/>
      <c r="K15" s="49"/>
      <c r="L15" s="45"/>
      <c r="M15" s="45"/>
      <c r="N15" s="36"/>
      <c r="O15" s="30" t="s">
        <v>52</v>
      </c>
      <c r="P15" s="74">
        <v>11.731</v>
      </c>
      <c r="Q15" s="56"/>
    </row>
    <row r="16" spans="1:17" x14ac:dyDescent="0.2">
      <c r="A16" s="23" t="s">
        <v>1</v>
      </c>
      <c r="B16" s="60">
        <f>_xlfn.XLOOKUP(A16,'Enrollment Info'!$A$4:$A$13,'Enrollment Info'!$B$4:$B$13,"")</f>
        <v>6</v>
      </c>
      <c r="C16" s="24">
        <f t="shared" si="1"/>
        <v>7.5000000000000002E-4</v>
      </c>
      <c r="D16" s="25">
        <f>B16/$G$30</f>
        <v>1.0771992818671454E-5</v>
      </c>
      <c r="E16" s="66" t="s">
        <v>28</v>
      </c>
      <c r="F16" s="29" t="s">
        <v>43</v>
      </c>
      <c r="G16" s="28">
        <v>11.518000000000001</v>
      </c>
      <c r="H16" s="27" t="s">
        <v>53</v>
      </c>
      <c r="I16" s="23" t="s">
        <v>46</v>
      </c>
      <c r="J16" s="76">
        <v>14.287000000000001</v>
      </c>
      <c r="K16" s="48">
        <f>G16-J16</f>
        <v>-2.7690000000000001</v>
      </c>
      <c r="L16" s="44">
        <f t="shared" ref="L16" si="10">K16/J16</f>
        <v>-0.19381255686988172</v>
      </c>
      <c r="M16" s="79">
        <f>10000/12*6*B16*K16/100</f>
        <v>-830.7</v>
      </c>
      <c r="N16" s="29" t="s">
        <v>35</v>
      </c>
      <c r="O16" s="23" t="s">
        <v>43</v>
      </c>
      <c r="P16" s="73">
        <v>152.209</v>
      </c>
      <c r="Q16" s="29"/>
    </row>
    <row r="17" spans="1:17" x14ac:dyDescent="0.2">
      <c r="A17" s="23"/>
      <c r="B17" s="60"/>
      <c r="C17" s="24"/>
      <c r="D17" s="25"/>
      <c r="E17" s="66" t="s">
        <v>28</v>
      </c>
      <c r="F17" s="29" t="s">
        <v>65</v>
      </c>
      <c r="G17" s="28">
        <v>11.518000000000001</v>
      </c>
      <c r="H17" s="27" t="s">
        <v>53</v>
      </c>
      <c r="I17" s="23" t="s">
        <v>46</v>
      </c>
      <c r="J17" s="76">
        <v>14.287000000000001</v>
      </c>
      <c r="K17" s="48">
        <f t="shared" ref="K17:K21" si="11">G17-J17</f>
        <v>-2.7690000000000001</v>
      </c>
      <c r="L17" s="44">
        <f t="shared" ref="L17:L21" si="12">K17/J17</f>
        <v>-0.19381255686988172</v>
      </c>
      <c r="M17" s="44"/>
      <c r="N17" s="29"/>
      <c r="O17" s="23" t="s">
        <v>44</v>
      </c>
      <c r="P17" s="73">
        <v>11.518000000000001</v>
      </c>
      <c r="Q17" s="29"/>
    </row>
    <row r="18" spans="1:17" x14ac:dyDescent="0.2">
      <c r="A18" s="23"/>
      <c r="B18" s="60"/>
      <c r="C18" s="24"/>
      <c r="D18" s="25"/>
      <c r="E18" s="66" t="s">
        <v>28</v>
      </c>
      <c r="F18" s="29" t="s">
        <v>45</v>
      </c>
      <c r="G18" s="28">
        <v>9.6780000000000008</v>
      </c>
      <c r="H18" s="27" t="s">
        <v>53</v>
      </c>
      <c r="I18" s="23" t="s">
        <v>47</v>
      </c>
      <c r="J18" s="76">
        <v>10.99</v>
      </c>
      <c r="K18" s="48">
        <f t="shared" si="11"/>
        <v>-1.3119999999999994</v>
      </c>
      <c r="L18" s="44">
        <f t="shared" si="12"/>
        <v>-0.11938125568698811</v>
      </c>
      <c r="M18" s="44"/>
      <c r="N18" s="29"/>
      <c r="O18" s="23" t="s">
        <v>45</v>
      </c>
      <c r="P18" s="73">
        <v>9.6780000000000008</v>
      </c>
      <c r="Q18" s="29"/>
    </row>
    <row r="19" spans="1:17" x14ac:dyDescent="0.2">
      <c r="A19" s="30" t="s">
        <v>17</v>
      </c>
      <c r="B19" s="61">
        <f>_xlfn.XLOOKUP(A19,'Enrollment Info'!$A$4:$A$13,'Enrollment Info'!$B$4:$B$13,"")</f>
        <v>20</v>
      </c>
      <c r="C19" s="31">
        <f t="shared" si="1"/>
        <v>2.5000000000000001E-3</v>
      </c>
      <c r="D19" s="32">
        <f>B19/$G$30</f>
        <v>3.5906642728904846E-5</v>
      </c>
      <c r="E19" s="66" t="s">
        <v>58</v>
      </c>
      <c r="F19" s="34" t="s">
        <v>33</v>
      </c>
      <c r="G19" s="38">
        <v>13.82</v>
      </c>
      <c r="H19" s="34" t="s">
        <v>53</v>
      </c>
      <c r="I19" s="33" t="s">
        <v>46</v>
      </c>
      <c r="J19" s="77">
        <v>14.287000000000001</v>
      </c>
      <c r="K19" s="49">
        <f t="shared" si="11"/>
        <v>-0.46700000000000053</v>
      </c>
      <c r="L19" s="45">
        <f t="shared" si="12"/>
        <v>-3.2687058164765206E-2</v>
      </c>
      <c r="M19" s="80">
        <f>10000/12*6*B19*K19/100</f>
        <v>-467.00000000000051</v>
      </c>
      <c r="N19" s="36" t="s">
        <v>36</v>
      </c>
      <c r="O19" s="30" t="s">
        <v>39</v>
      </c>
      <c r="P19" s="74" t="s">
        <v>39</v>
      </c>
      <c r="Q19" s="56" t="s">
        <v>67</v>
      </c>
    </row>
    <row r="20" spans="1:17" x14ac:dyDescent="0.2">
      <c r="A20" s="30"/>
      <c r="B20" s="61"/>
      <c r="C20" s="31"/>
      <c r="D20" s="32"/>
      <c r="E20" s="68" t="s">
        <v>62</v>
      </c>
      <c r="F20" s="36" t="s">
        <v>37</v>
      </c>
      <c r="G20" s="38">
        <v>13.82</v>
      </c>
      <c r="H20" s="34" t="s">
        <v>53</v>
      </c>
      <c r="I20" s="33" t="s">
        <v>61</v>
      </c>
      <c r="J20" s="77">
        <v>10.99</v>
      </c>
      <c r="K20" s="49">
        <f t="shared" si="11"/>
        <v>2.83</v>
      </c>
      <c r="L20" s="45">
        <f t="shared" si="12"/>
        <v>0.2575068243858053</v>
      </c>
      <c r="M20" s="45"/>
      <c r="N20" s="36"/>
      <c r="O20" s="30" t="s">
        <v>39</v>
      </c>
      <c r="P20" s="74" t="s">
        <v>39</v>
      </c>
      <c r="Q20" s="56"/>
    </row>
    <row r="21" spans="1:17" x14ac:dyDescent="0.2">
      <c r="A21" s="30"/>
      <c r="B21" s="61"/>
      <c r="C21" s="31"/>
      <c r="D21" s="32"/>
      <c r="E21" s="68" t="s">
        <v>63</v>
      </c>
      <c r="F21" s="36" t="s">
        <v>38</v>
      </c>
      <c r="G21" s="38">
        <v>13.82</v>
      </c>
      <c r="H21" s="34" t="s">
        <v>53</v>
      </c>
      <c r="I21" s="33" t="s">
        <v>57</v>
      </c>
      <c r="J21" s="77">
        <f t="shared" ref="J21" si="13">AVERAGE(14.287,10.99)</f>
        <v>12.638500000000001</v>
      </c>
      <c r="K21" s="49">
        <f t="shared" si="11"/>
        <v>1.1814999999999998</v>
      </c>
      <c r="L21" s="45">
        <f t="shared" si="12"/>
        <v>9.3484195118091529E-2</v>
      </c>
      <c r="M21" s="45"/>
      <c r="N21" s="36"/>
      <c r="O21" s="30" t="s">
        <v>39</v>
      </c>
      <c r="P21" s="74" t="s">
        <v>39</v>
      </c>
      <c r="Q21" s="56"/>
    </row>
    <row r="22" spans="1:17" x14ac:dyDescent="0.2">
      <c r="A22" s="30"/>
      <c r="B22" s="61"/>
      <c r="C22" s="31"/>
      <c r="D22" s="32"/>
      <c r="E22" s="68"/>
      <c r="F22" s="36" t="s">
        <v>52</v>
      </c>
      <c r="G22" s="33" t="s">
        <v>39</v>
      </c>
      <c r="H22" s="34"/>
      <c r="I22" s="33"/>
      <c r="J22" s="77"/>
      <c r="K22" s="49"/>
      <c r="L22" s="45"/>
      <c r="M22" s="45"/>
      <c r="N22" s="36"/>
      <c r="O22" s="30" t="s">
        <v>52</v>
      </c>
      <c r="P22" s="74">
        <v>9.266</v>
      </c>
      <c r="Q22" s="56"/>
    </row>
    <row r="23" spans="1:17" ht="68" x14ac:dyDescent="0.2">
      <c r="A23" s="23" t="s">
        <v>68</v>
      </c>
      <c r="B23" s="60">
        <f>_xlfn.XLOOKUP(A23,'Enrollment Info'!$A$4:$A$13,'Enrollment Info'!$B$4:$B$13,"")</f>
        <v>10</v>
      </c>
      <c r="C23" s="24">
        <f t="shared" si="1"/>
        <v>1.25E-3</v>
      </c>
      <c r="D23" s="25">
        <f t="shared" ref="D5:D23" si="14">B23/525000</f>
        <v>1.9047619047619046E-5</v>
      </c>
      <c r="E23" s="26" t="s">
        <v>69</v>
      </c>
      <c r="F23" s="29"/>
      <c r="G23" s="28"/>
      <c r="H23" s="27"/>
      <c r="I23" s="23"/>
      <c r="J23" s="76"/>
      <c r="K23" s="48"/>
      <c r="L23" s="44"/>
      <c r="M23" s="44"/>
      <c r="N23" s="29"/>
      <c r="O23" s="23"/>
      <c r="P23" s="73"/>
      <c r="Q23" s="54" t="s">
        <v>70</v>
      </c>
    </row>
    <row r="24" spans="1:17" x14ac:dyDescent="0.2">
      <c r="A24" s="30"/>
      <c r="B24" s="62"/>
      <c r="C24" s="31"/>
      <c r="D24" s="32"/>
      <c r="E24" s="33"/>
      <c r="F24" s="30"/>
      <c r="G24" s="33"/>
      <c r="H24" s="33"/>
      <c r="I24" s="33"/>
      <c r="J24" s="77"/>
      <c r="K24" s="52"/>
      <c r="L24" s="45"/>
      <c r="M24" s="45"/>
      <c r="N24" s="30"/>
      <c r="O24" s="30"/>
      <c r="P24" s="74"/>
      <c r="Q24" s="53"/>
    </row>
    <row r="25" spans="1:17" x14ac:dyDescent="0.2">
      <c r="B25" s="63">
        <v>8000</v>
      </c>
      <c r="C25" s="42">
        <v>1</v>
      </c>
      <c r="D25" s="43">
        <v>1.5238095238095238E-2</v>
      </c>
      <c r="I25" s="20"/>
      <c r="L25" s="46"/>
      <c r="M25" s="85"/>
    </row>
    <row r="26" spans="1:17" x14ac:dyDescent="0.2">
      <c r="A26" s="78" t="s">
        <v>73</v>
      </c>
      <c r="I26" s="20"/>
      <c r="L26" s="46"/>
      <c r="M26" s="46"/>
    </row>
    <row r="27" spans="1:17" x14ac:dyDescent="0.2">
      <c r="I27" s="20"/>
      <c r="L27" s="46"/>
      <c r="M27" s="46"/>
    </row>
    <row r="28" spans="1:17" x14ac:dyDescent="0.2">
      <c r="F28" s="41" t="s">
        <v>75</v>
      </c>
      <c r="L28" s="46"/>
      <c r="M28" s="46"/>
    </row>
    <row r="29" spans="1:17" x14ac:dyDescent="0.2">
      <c r="B29" s="17"/>
      <c r="F29" s="82" t="s">
        <v>80</v>
      </c>
      <c r="G29" s="84" t="s">
        <v>77</v>
      </c>
      <c r="H29" s="82" t="s">
        <v>78</v>
      </c>
    </row>
    <row r="30" spans="1:17" x14ac:dyDescent="0.2">
      <c r="F30" s="20" t="s">
        <v>81</v>
      </c>
      <c r="G30" s="83">
        <v>557000</v>
      </c>
      <c r="H30" s="20">
        <v>21</v>
      </c>
    </row>
    <row r="31" spans="1:17" x14ac:dyDescent="0.2">
      <c r="F31" s="17" t="s">
        <v>82</v>
      </c>
      <c r="G31" s="83">
        <v>997</v>
      </c>
      <c r="H31" s="20">
        <v>31</v>
      </c>
      <c r="I31" s="40">
        <f>G31/0.72</f>
        <v>1384.7222222222222</v>
      </c>
    </row>
    <row r="32" spans="1:17" x14ac:dyDescent="0.2">
      <c r="F32" s="17" t="s">
        <v>76</v>
      </c>
      <c r="G32" s="83">
        <v>5096</v>
      </c>
      <c r="H32" s="20">
        <v>31</v>
      </c>
    </row>
    <row r="33" spans="6:7" x14ac:dyDescent="0.2">
      <c r="F33" s="81" t="s">
        <v>79</v>
      </c>
    </row>
    <row r="35" spans="6:7" x14ac:dyDescent="0.2">
      <c r="F35" s="20" t="s">
        <v>83</v>
      </c>
      <c r="G35" s="86">
        <f>M3/(G31*10^6/0.72)*-1</f>
        <v>2.5040177331995991E-4</v>
      </c>
    </row>
  </sheetData>
  <mergeCells count="8">
    <mergeCell ref="B1:E1"/>
    <mergeCell ref="Q12:Q15"/>
    <mergeCell ref="Q19:Q22"/>
    <mergeCell ref="Q3:Q4"/>
    <mergeCell ref="F1:G1"/>
    <mergeCell ref="H1:I1"/>
    <mergeCell ref="K1:L1"/>
    <mergeCell ref="N1:P1"/>
  </mergeCells>
  <phoneticPr fontId="7" type="noConversion"/>
  <hyperlinks>
    <hyperlink ref="F33" r:id="rId1" xr:uid="{FD50254D-FD5E-6043-966C-6A8BB153267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8EDD1-F9AC-3246-AC9D-8BAF0E1CCAFE}">
  <dimension ref="A1:E14"/>
  <sheetViews>
    <sheetView zoomScale="130" zoomScaleNormal="130" workbookViewId="0">
      <selection activeCell="E5" sqref="E5"/>
    </sheetView>
  </sheetViews>
  <sheetFormatPr baseColWidth="10" defaultColWidth="8.83203125" defaultRowHeight="16" x14ac:dyDescent="0.2"/>
  <cols>
    <col min="1" max="1" width="14.83203125" style="1" bestFit="1" customWidth="1"/>
    <col min="2" max="2" width="12.5" style="1" customWidth="1"/>
    <col min="3" max="3" width="8.83203125" style="2"/>
    <col min="4" max="4" width="9.1640625" style="9" bestFit="1" customWidth="1"/>
    <col min="5" max="5" width="87.33203125" style="1" customWidth="1"/>
    <col min="6" max="16384" width="8.83203125" style="1"/>
  </cols>
  <sheetData>
    <row r="1" spans="1:5" ht="48" x14ac:dyDescent="0.2">
      <c r="A1" s="6" t="s">
        <v>26</v>
      </c>
      <c r="B1" s="1">
        <v>8000</v>
      </c>
      <c r="D1" s="8"/>
      <c r="E1" s="8" t="s">
        <v>59</v>
      </c>
    </row>
    <row r="2" spans="1:5" ht="12" customHeight="1" x14ac:dyDescent="0.2"/>
    <row r="3" spans="1:5" ht="51" customHeight="1" x14ac:dyDescent="0.2">
      <c r="A3" s="5"/>
      <c r="B3" s="6" t="s">
        <v>25</v>
      </c>
      <c r="C3" s="7" t="s">
        <v>24</v>
      </c>
      <c r="D3" s="10" t="s">
        <v>23</v>
      </c>
      <c r="E3" s="5" t="s">
        <v>22</v>
      </c>
    </row>
    <row r="4" spans="1:5" x14ac:dyDescent="0.2">
      <c r="A4" s="5" t="s">
        <v>0</v>
      </c>
      <c r="B4" s="1">
        <f>B1-(SUM(B5:B13))</f>
        <v>2558</v>
      </c>
      <c r="C4" s="2">
        <f>B4/$B$14</f>
        <v>0.32015018773466836</v>
      </c>
      <c r="D4" s="9">
        <f>B4/525000</f>
        <v>4.8723809523809527E-3</v>
      </c>
      <c r="E4" s="1" t="s">
        <v>71</v>
      </c>
    </row>
    <row r="5" spans="1:5" x14ac:dyDescent="0.2">
      <c r="A5" s="5" t="s">
        <v>21</v>
      </c>
      <c r="B5" s="1">
        <f>8000*0.67</f>
        <v>5360</v>
      </c>
      <c r="C5" s="2">
        <f>B5/$B$14</f>
        <v>0.67083854818523159</v>
      </c>
      <c r="D5" s="9">
        <f>B5/525000</f>
        <v>1.0209523809523809E-2</v>
      </c>
      <c r="E5" s="1" t="s">
        <v>20</v>
      </c>
    </row>
    <row r="6" spans="1:5" x14ac:dyDescent="0.2">
      <c r="A6" s="5"/>
    </row>
    <row r="7" spans="1:5" x14ac:dyDescent="0.2">
      <c r="A7" s="5" t="s">
        <v>19</v>
      </c>
      <c r="B7" s="1">
        <v>4</v>
      </c>
      <c r="C7" s="2">
        <f>B7/$B$14</f>
        <v>5.006257822277847E-4</v>
      </c>
      <c r="D7" s="9">
        <f>B7/525000</f>
        <v>7.6190476190476188E-6</v>
      </c>
      <c r="E7" s="1" t="s">
        <v>60</v>
      </c>
    </row>
    <row r="8" spans="1:5" x14ac:dyDescent="0.2">
      <c r="A8" s="5" t="s">
        <v>18</v>
      </c>
      <c r="B8" s="1">
        <v>42</v>
      </c>
      <c r="C8" s="2">
        <f>B8/$B$14</f>
        <v>5.2565707133917393E-3</v>
      </c>
      <c r="D8" s="9">
        <f>B8/525000</f>
        <v>8.0000000000000007E-5</v>
      </c>
      <c r="E8" s="1" t="s">
        <v>60</v>
      </c>
    </row>
    <row r="9" spans="1:5" x14ac:dyDescent="0.2">
      <c r="A9" s="5"/>
    </row>
    <row r="10" spans="1:5" x14ac:dyDescent="0.2">
      <c r="A10" s="5" t="s">
        <v>1</v>
      </c>
      <c r="B10" s="1">
        <v>6</v>
      </c>
      <c r="C10" s="2">
        <f>B10/$B$14</f>
        <v>7.5093867334167705E-4</v>
      </c>
      <c r="D10" s="9">
        <f>B10/525000</f>
        <v>1.1428571428571429E-5</v>
      </c>
      <c r="E10" s="1" t="s">
        <v>60</v>
      </c>
    </row>
    <row r="11" spans="1:5" x14ac:dyDescent="0.2">
      <c r="A11" s="5" t="s">
        <v>17</v>
      </c>
      <c r="B11" s="1">
        <v>20</v>
      </c>
      <c r="C11" s="2">
        <f>B11/$B$14</f>
        <v>2.5031289111389237E-3</v>
      </c>
      <c r="D11" s="9">
        <f>B11/525000</f>
        <v>3.8095238095238092E-5</v>
      </c>
      <c r="E11" s="1" t="s">
        <v>60</v>
      </c>
    </row>
    <row r="12" spans="1:5" x14ac:dyDescent="0.2">
      <c r="A12" s="5"/>
    </row>
    <row r="13" spans="1:5" ht="40" customHeight="1" x14ac:dyDescent="0.2">
      <c r="A13" s="6" t="s">
        <v>68</v>
      </c>
      <c r="B13" s="1">
        <v>10</v>
      </c>
      <c r="C13" s="2">
        <f>B13/$B$14</f>
        <v>1.2515644555694619E-3</v>
      </c>
      <c r="D13" s="9">
        <f>B13/525000</f>
        <v>1.9047619047619046E-5</v>
      </c>
      <c r="E13" s="1" t="s">
        <v>72</v>
      </c>
    </row>
    <row r="14" spans="1:5" ht="15" x14ac:dyDescent="0.2">
      <c r="B14" s="4">
        <f>SUM(B4:B11)</f>
        <v>7990</v>
      </c>
      <c r="C14" s="3">
        <f>B14/$B$14</f>
        <v>1</v>
      </c>
      <c r="D14" s="11">
        <f>B14/525000</f>
        <v>1.521904761904762E-2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D1583-0276-7B48-BE2F-36FED4DD5AF1}">
  <dimension ref="A1:I7"/>
  <sheetViews>
    <sheetView workbookViewId="0">
      <selection activeCell="C1" sqref="C1:I1048576"/>
    </sheetView>
  </sheetViews>
  <sheetFormatPr baseColWidth="10" defaultRowHeight="16" x14ac:dyDescent="0.2"/>
  <cols>
    <col min="1" max="1" width="19.33203125" bestFit="1" customWidth="1"/>
    <col min="2" max="2" width="10.6640625" customWidth="1"/>
    <col min="3" max="3" width="19.33203125" customWidth="1"/>
    <col min="4" max="4" width="18.83203125" bestFit="1" customWidth="1"/>
    <col min="5" max="5" width="11.83203125" bestFit="1" customWidth="1"/>
  </cols>
  <sheetData>
    <row r="1" spans="1:9" x14ac:dyDescent="0.2">
      <c r="A1" t="s">
        <v>2</v>
      </c>
    </row>
    <row r="3" spans="1:9" x14ac:dyDescent="0.2">
      <c r="B3" t="s">
        <v>16</v>
      </c>
      <c r="C3" t="s">
        <v>12</v>
      </c>
      <c r="D3" t="s">
        <v>4</v>
      </c>
      <c r="F3" t="s">
        <v>10</v>
      </c>
    </row>
    <row r="4" spans="1:9" x14ac:dyDescent="0.2">
      <c r="D4" t="s">
        <v>5</v>
      </c>
      <c r="E4" t="s">
        <v>6</v>
      </c>
      <c r="F4" t="s">
        <v>5</v>
      </c>
      <c r="G4" t="s">
        <v>6</v>
      </c>
      <c r="H4" t="s">
        <v>11</v>
      </c>
    </row>
    <row r="5" spans="1:9" x14ac:dyDescent="0.2">
      <c r="A5" t="s">
        <v>3</v>
      </c>
      <c r="B5">
        <v>500</v>
      </c>
      <c r="C5" t="s">
        <v>13</v>
      </c>
      <c r="D5" t="s">
        <v>7</v>
      </c>
      <c r="E5">
        <v>14.22</v>
      </c>
      <c r="F5" t="s">
        <v>7</v>
      </c>
      <c r="G5">
        <v>16.489999999999998</v>
      </c>
      <c r="H5">
        <f>E5-G5</f>
        <v>-2.2699999999999978</v>
      </c>
      <c r="I5">
        <f>H5/G5</f>
        <v>-0.1376591873862946</v>
      </c>
    </row>
    <row r="6" spans="1:9" x14ac:dyDescent="0.2">
      <c r="C6" t="s">
        <v>14</v>
      </c>
      <c r="D6" t="s">
        <v>8</v>
      </c>
      <c r="E6" t="s">
        <v>9</v>
      </c>
    </row>
    <row r="7" spans="1:9" x14ac:dyDescent="0.2">
      <c r="C7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Comparison</vt:lpstr>
      <vt:lpstr>Enrollment Info</vt:lpstr>
      <vt:lpstr>archive</vt:lpstr>
      <vt:lpstr>archive!_ftn1</vt:lpstr>
      <vt:lpstr>archive!_ftn2</vt:lpstr>
      <vt:lpstr>archive!_ftnref1</vt:lpstr>
      <vt:lpstr>archive!_ftnref2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Crookham</dc:creator>
  <cp:lastModifiedBy>Theodore Love</cp:lastModifiedBy>
  <dcterms:created xsi:type="dcterms:W3CDTF">2025-10-13T17:03:19Z</dcterms:created>
  <dcterms:modified xsi:type="dcterms:W3CDTF">2025-10-15T20:17:00Z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ndDocumentId">
    <vt:lpwstr xmlns:vt="http://schemas.openxmlformats.org/officeDocument/2006/docPropsVTypes">1408-0625-2057</vt:lpwstr>
  </op:property>
</op:Properties>
</file>