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aintika\Desktop\1. Titanfile Downloads\"/>
    </mc:Choice>
  </mc:AlternateContent>
  <xr:revisionPtr revIDLastSave="0" documentId="8_{C77FB7CD-A664-4D96-9D01-5C9004467A60}" xr6:coauthVersionLast="47" xr6:coauthVersionMax="47" xr10:uidLastSave="{00000000-0000-0000-0000-000000000000}"/>
  <bookViews>
    <workbookView xWindow="28680" yWindow="-120" windowWidth="29040" windowHeight="15720" xr2:uid="{A0DD4E47-E563-494B-A426-6462B092B5E2}"/>
  </bookViews>
  <sheets>
    <sheet name="Deferral calc" sheetId="4" r:id="rId1"/>
    <sheet name="Load Analysis kWh" sheetId="5" r:id="rId2"/>
    <sheet name="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162" i="4" l="1"/>
  <c r="BK162" i="4"/>
  <c r="AZ162" i="4"/>
  <c r="BA162" i="4"/>
  <c r="BB162" i="4"/>
  <c r="BC162" i="4"/>
  <c r="BD162" i="4"/>
  <c r="BE162" i="4"/>
  <c r="BF162" i="4"/>
  <c r="BG162" i="4"/>
  <c r="BH162" i="4"/>
  <c r="BI162" i="4"/>
  <c r="AX158" i="4"/>
  <c r="AZ163" i="4" s="1"/>
  <c r="AZ158" i="4"/>
  <c r="BB163" i="4" s="1"/>
  <c r="BA158" i="4"/>
  <c r="BC163" i="4" s="1"/>
  <c r="BB158" i="4"/>
  <c r="BD163" i="4" s="1"/>
  <c r="BC158" i="4"/>
  <c r="BE163" i="4" s="1"/>
  <c r="BD158" i="4"/>
  <c r="BF163" i="4" s="1"/>
  <c r="BE158" i="4"/>
  <c r="BG163" i="4" s="1"/>
  <c r="BI158" i="4"/>
  <c r="BK163" i="4" s="1"/>
  <c r="D164" i="4"/>
  <c r="D135" i="4"/>
  <c r="D92" i="4"/>
  <c r="M144" i="4"/>
  <c r="M143" i="4"/>
  <c r="M142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AA163" i="4"/>
  <c r="AB129" i="4"/>
  <c r="AD134" i="4" s="1"/>
  <c r="AC129" i="4"/>
  <c r="AE134" i="4" s="1"/>
  <c r="AD129" i="4"/>
  <c r="AF134" i="4" s="1"/>
  <c r="AE129" i="4"/>
  <c r="AG134" i="4" s="1"/>
  <c r="AF129" i="4"/>
  <c r="AH134" i="4" s="1"/>
  <c r="AG129" i="4"/>
  <c r="AI134" i="4" s="1"/>
  <c r="AH129" i="4"/>
  <c r="AJ134" i="4" s="1"/>
  <c r="AI129" i="4"/>
  <c r="AK134" i="4" s="1"/>
  <c r="AJ129" i="4"/>
  <c r="AL134" i="4" s="1"/>
  <c r="AK129" i="4"/>
  <c r="AM134" i="4" s="1"/>
  <c r="Z129" i="4"/>
  <c r="AB134" i="4" s="1"/>
  <c r="AA129" i="4"/>
  <c r="AC134" i="4" s="1"/>
  <c r="Y129" i="4"/>
  <c r="AA134" i="4" s="1"/>
  <c r="AK86" i="4"/>
  <c r="AM91" i="4" s="1"/>
  <c r="AJ86" i="4"/>
  <c r="AL91" i="4" s="1"/>
  <c r="AI86" i="4"/>
  <c r="AK91" i="4" s="1"/>
  <c r="AH86" i="4"/>
  <c r="AJ91" i="4" s="1"/>
  <c r="AG86" i="4"/>
  <c r="AI91" i="4" s="1"/>
  <c r="AF86" i="4"/>
  <c r="AH91" i="4" s="1"/>
  <c r="AE86" i="4"/>
  <c r="AG91" i="4" s="1"/>
  <c r="AD86" i="4"/>
  <c r="AF91" i="4" s="1"/>
  <c r="AC86" i="4"/>
  <c r="AE91" i="4" s="1"/>
  <c r="AB86" i="4"/>
  <c r="AD91" i="4" s="1"/>
  <c r="AA86" i="4"/>
  <c r="AC91" i="4" s="1"/>
  <c r="Z86" i="4"/>
  <c r="AB91" i="4" s="1"/>
  <c r="Y86" i="4"/>
  <c r="AA91" i="4" s="1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D145" i="4"/>
  <c r="BH158" i="4" s="1"/>
  <c r="BJ163" i="4" s="1"/>
  <c r="E153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AN162" i="4"/>
  <c r="AO162" i="4"/>
  <c r="AP162" i="4"/>
  <c r="AQ162" i="4"/>
  <c r="AR162" i="4"/>
  <c r="AS162" i="4"/>
  <c r="AT162" i="4"/>
  <c r="AU162" i="4"/>
  <c r="AV162" i="4"/>
  <c r="AW162" i="4"/>
  <c r="AX162" i="4"/>
  <c r="AY162" i="4"/>
  <c r="E165" i="4"/>
  <c r="F161" i="4" s="1"/>
  <c r="F164" i="4" s="1"/>
  <c r="G143" i="4"/>
  <c r="K149" i="4" s="1"/>
  <c r="G144" i="4"/>
  <c r="F150" i="4" s="1"/>
  <c r="G142" i="4"/>
  <c r="F148" i="4" s="1"/>
  <c r="AY158" i="4" l="1"/>
  <c r="BA163" i="4" s="1"/>
  <c r="H142" i="4"/>
  <c r="H144" i="4"/>
  <c r="BG158" i="4"/>
  <c r="BI163" i="4" s="1"/>
  <c r="H143" i="4"/>
  <c r="BF158" i="4"/>
  <c r="BH163" i="4" s="1"/>
  <c r="K145" i="4"/>
  <c r="M145" i="4"/>
  <c r="AR158" i="4"/>
  <c r="AT163" i="4" s="1"/>
  <c r="AQ158" i="4"/>
  <c r="AS163" i="4" s="1"/>
  <c r="AO158" i="4"/>
  <c r="AQ163" i="4" s="1"/>
  <c r="J149" i="4"/>
  <c r="G148" i="4"/>
  <c r="M148" i="4"/>
  <c r="AL158" i="4"/>
  <c r="AT158" i="4"/>
  <c r="AV163" i="4" s="1"/>
  <c r="AS158" i="4"/>
  <c r="AU163" i="4" s="1"/>
  <c r="H148" i="4"/>
  <c r="AM158" i="4"/>
  <c r="AO163" i="4" s="1"/>
  <c r="I149" i="4"/>
  <c r="AW158" i="4"/>
  <c r="AY163" i="4" s="1"/>
  <c r="AU158" i="4"/>
  <c r="AW163" i="4" s="1"/>
  <c r="AP158" i="4"/>
  <c r="AR163" i="4" s="1"/>
  <c r="F149" i="4"/>
  <c r="F151" i="4" s="1"/>
  <c r="F154" i="4" s="1"/>
  <c r="H162" i="4" s="1"/>
  <c r="AN158" i="4"/>
  <c r="AP163" i="4" s="1"/>
  <c r="L148" i="4"/>
  <c r="AV158" i="4"/>
  <c r="AX163" i="4" s="1"/>
  <c r="G149" i="4"/>
  <c r="K148" i="4"/>
  <c r="J148" i="4"/>
  <c r="M150" i="4"/>
  <c r="I148" i="4"/>
  <c r="E148" i="4"/>
  <c r="L150" i="4"/>
  <c r="K150" i="4"/>
  <c r="J150" i="4"/>
  <c r="E150" i="4"/>
  <c r="E149" i="4"/>
  <c r="H150" i="4"/>
  <c r="I150" i="4"/>
  <c r="G150" i="4"/>
  <c r="M149" i="4"/>
  <c r="L149" i="4"/>
  <c r="H149" i="4"/>
  <c r="F165" i="4"/>
  <c r="G161" i="4" s="1"/>
  <c r="H145" i="4" l="1"/>
  <c r="O145" i="4"/>
  <c r="AN163" i="4"/>
  <c r="T145" i="4"/>
  <c r="G151" i="4"/>
  <c r="G154" i="4" s="1"/>
  <c r="I162" i="4" s="1"/>
  <c r="I151" i="4"/>
  <c r="I154" i="4" s="1"/>
  <c r="K162" i="4" s="1"/>
  <c r="J151" i="4"/>
  <c r="J154" i="4" s="1"/>
  <c r="L162" i="4" s="1"/>
  <c r="K151" i="4"/>
  <c r="K154" i="4" s="1"/>
  <c r="M162" i="4" s="1"/>
  <c r="M151" i="4"/>
  <c r="M154" i="4" s="1"/>
  <c r="O162" i="4" s="1"/>
  <c r="L151" i="4"/>
  <c r="L154" i="4" s="1"/>
  <c r="N162" i="4" s="1"/>
  <c r="H151" i="4"/>
  <c r="H154" i="4" s="1"/>
  <c r="J162" i="4" s="1"/>
  <c r="E151" i="4"/>
  <c r="E154" i="4" s="1"/>
  <c r="G162" i="4" s="1"/>
  <c r="P144" i="4" l="1"/>
  <c r="P142" i="4"/>
  <c r="P143" i="4"/>
  <c r="G164" i="4"/>
  <c r="G165" i="4" s="1"/>
  <c r="H161" i="4" s="1"/>
  <c r="H164" i="4" l="1"/>
  <c r="H165" i="4" s="1"/>
  <c r="I161" i="4" s="1"/>
  <c r="S143" i="4"/>
  <c r="Q143" i="4"/>
  <c r="Q142" i="4"/>
  <c r="S142" i="4"/>
  <c r="S144" i="4"/>
  <c r="Q144" i="4"/>
  <c r="I164" i="4" l="1"/>
  <c r="I165" i="4"/>
  <c r="J161" i="4" s="1"/>
  <c r="J164" i="4" s="1"/>
  <c r="S145" i="4"/>
  <c r="J165" i="4"/>
  <c r="K161" i="4" s="1"/>
  <c r="K164" i="4" s="1"/>
  <c r="K165" i="4" l="1"/>
  <c r="L161" i="4" s="1"/>
  <c r="L164" i="4" s="1"/>
  <c r="L165" i="4" l="1"/>
  <c r="M161" i="4" s="1"/>
  <c r="M164" i="4" s="1"/>
  <c r="M165" i="4" l="1"/>
  <c r="N161" i="4" s="1"/>
  <c r="N164" i="4" s="1"/>
  <c r="N165" i="4" l="1"/>
  <c r="O161" i="4" s="1"/>
  <c r="O164" i="4" s="1"/>
  <c r="O165" i="4" l="1"/>
  <c r="P161" i="4" s="1"/>
  <c r="P164" i="4" s="1"/>
  <c r="P165" i="4" l="1"/>
  <c r="Q161" i="4" s="1"/>
  <c r="Q164" i="4" s="1"/>
  <c r="Q165" i="4" l="1"/>
  <c r="R161" i="4" s="1"/>
  <c r="R164" i="4" s="1"/>
  <c r="R165" i="4" l="1"/>
  <c r="S161" i="4" s="1"/>
  <c r="S164" i="4" s="1"/>
  <c r="S165" i="4" l="1"/>
  <c r="T161" i="4" s="1"/>
  <c r="T164" i="4" s="1"/>
  <c r="T165" i="4" l="1"/>
  <c r="U161" i="4" s="1"/>
  <c r="U164" i="4" s="1"/>
  <c r="U165" i="4" l="1"/>
  <c r="V161" i="4" s="1"/>
  <c r="V164" i="4" s="1"/>
  <c r="V165" i="4" l="1"/>
  <c r="W161" i="4" s="1"/>
  <c r="W164" i="4" s="1"/>
  <c r="W165" i="4" l="1"/>
  <c r="X161" i="4" s="1"/>
  <c r="X164" i="4" s="1"/>
  <c r="X165" i="4" l="1"/>
  <c r="Y161" i="4" s="1"/>
  <c r="Y164" i="4" s="1"/>
  <c r="Y165" i="4" l="1"/>
  <c r="Z161" i="4" s="1"/>
  <c r="Z164" i="4" s="1"/>
  <c r="Z165" i="4" l="1"/>
  <c r="AA161" i="4" s="1"/>
  <c r="AA164" i="4" s="1"/>
  <c r="AA165" i="4" l="1"/>
  <c r="AB161" i="4" s="1"/>
  <c r="AB164" i="4" s="1"/>
  <c r="AB165" i="4" l="1"/>
  <c r="AC161" i="4" s="1"/>
  <c r="AC164" i="4" s="1"/>
  <c r="AC165" i="4" l="1"/>
  <c r="AD161" i="4" s="1"/>
  <c r="AD164" i="4" s="1"/>
  <c r="AD165" i="4" l="1"/>
  <c r="AE161" i="4" s="1"/>
  <c r="AE164" i="4" s="1"/>
  <c r="AE165" i="4" l="1"/>
  <c r="AF161" i="4" s="1"/>
  <c r="AF164" i="4" s="1"/>
  <c r="AF165" i="4" l="1"/>
  <c r="AG161" i="4" s="1"/>
  <c r="AG164" i="4" s="1"/>
  <c r="AG165" i="4" l="1"/>
  <c r="AH161" i="4" s="1"/>
  <c r="AH164" i="4" s="1"/>
  <c r="AH165" i="4" l="1"/>
  <c r="AI161" i="4" s="1"/>
  <c r="AI164" i="4" s="1"/>
  <c r="AI165" i="4" l="1"/>
  <c r="AJ161" i="4" s="1"/>
  <c r="AJ164" i="4" s="1"/>
  <c r="AJ165" i="4" l="1"/>
  <c r="AK161" i="4" s="1"/>
  <c r="AK164" i="4" s="1"/>
  <c r="AK165" i="4" l="1"/>
  <c r="AL161" i="4" s="1"/>
  <c r="AL164" i="4" s="1"/>
  <c r="AL165" i="4" l="1"/>
  <c r="AM161" i="4" s="1"/>
  <c r="AM164" i="4" s="1"/>
  <c r="AM165" i="4" l="1"/>
  <c r="AN161" i="4" s="1"/>
  <c r="AN164" i="4" s="1"/>
  <c r="AN165" i="4" l="1"/>
  <c r="AO161" i="4" s="1"/>
  <c r="AO164" i="4" s="1"/>
  <c r="AO165" i="4" l="1"/>
  <c r="AP161" i="4" s="1"/>
  <c r="AP164" i="4" s="1"/>
  <c r="AP165" i="4" l="1"/>
  <c r="AQ161" i="4" s="1"/>
  <c r="AQ164" i="4" s="1"/>
  <c r="AQ165" i="4" l="1"/>
  <c r="AR161" i="4" s="1"/>
  <c r="AR164" i="4" s="1"/>
  <c r="AR165" i="4" l="1"/>
  <c r="AS161" i="4" s="1"/>
  <c r="AS164" i="4" s="1"/>
  <c r="AS165" i="4" l="1"/>
  <c r="AT161" i="4" s="1"/>
  <c r="AT164" i="4" s="1"/>
  <c r="AT165" i="4" l="1"/>
  <c r="AU161" i="4" s="1"/>
  <c r="AU164" i="4" s="1"/>
  <c r="AU165" i="4" l="1"/>
  <c r="AV161" i="4" s="1"/>
  <c r="AV164" i="4" s="1"/>
  <c r="AV165" i="4" l="1"/>
  <c r="AW161" i="4" s="1"/>
  <c r="AW164" i="4" s="1"/>
  <c r="AW165" i="4" l="1"/>
  <c r="AX161" i="4" s="1"/>
  <c r="AX164" i="4" s="1"/>
  <c r="AX165" i="4" l="1"/>
  <c r="AY161" i="4" s="1"/>
  <c r="AY164" i="4" s="1"/>
  <c r="AY165" i="4" l="1"/>
  <c r="AZ161" i="4" s="1"/>
  <c r="AZ164" i="4" l="1"/>
  <c r="AZ165" i="4" s="1"/>
  <c r="BA161" i="4" s="1"/>
  <c r="BA164" i="4" s="1"/>
  <c r="BA165" i="4" s="1"/>
  <c r="BB161" i="4" s="1"/>
  <c r="BB164" i="4" s="1"/>
  <c r="BB165" i="4" s="1"/>
  <c r="BC161" i="4" s="1"/>
  <c r="BC164" i="4" s="1"/>
  <c r="BC165" i="4" s="1"/>
  <c r="BD161" i="4" s="1"/>
  <c r="BD164" i="4" s="1"/>
  <c r="BD165" i="4" s="1"/>
  <c r="BE161" i="4" s="1"/>
  <c r="BE164" i="4" s="1"/>
  <c r="BE165" i="4" s="1"/>
  <c r="BF161" i="4" s="1"/>
  <c r="BF164" i="4" s="1"/>
  <c r="BF165" i="4" s="1"/>
  <c r="BG161" i="4" s="1"/>
  <c r="BG164" i="4" s="1"/>
  <c r="BG165" i="4" s="1"/>
  <c r="BH161" i="4" s="1"/>
  <c r="BH164" i="4" l="1"/>
  <c r="BH165" i="4"/>
  <c r="BI161" i="4" s="1"/>
  <c r="BI164" i="4" l="1"/>
  <c r="BI165" i="4"/>
  <c r="BJ161" i="4" s="1"/>
  <c r="BJ164" i="4" l="1"/>
  <c r="BJ165" i="4"/>
  <c r="BK161" i="4" s="1"/>
  <c r="AZ47" i="4"/>
  <c r="BA47" i="4"/>
  <c r="BB47" i="4"/>
  <c r="BC47" i="4"/>
  <c r="BD47" i="4"/>
  <c r="BE47" i="4"/>
  <c r="BF47" i="4"/>
  <c r="BG47" i="4"/>
  <c r="BH47" i="4"/>
  <c r="BI47" i="4"/>
  <c r="BJ47" i="4"/>
  <c r="BK47" i="4"/>
  <c r="G88" i="4"/>
  <c r="G131" i="4" s="1"/>
  <c r="G160" i="4" s="1"/>
  <c r="H45" i="4"/>
  <c r="H88" i="4" s="1"/>
  <c r="H131" i="4" s="1"/>
  <c r="H160" i="4" s="1"/>
  <c r="BK164" i="4" l="1"/>
  <c r="BK165" i="4"/>
  <c r="I45" i="4"/>
  <c r="I88" i="4" l="1"/>
  <c r="I131" i="4" s="1"/>
  <c r="I160" i="4" s="1"/>
  <c r="J45" i="4"/>
  <c r="E100" i="4"/>
  <c r="E99" i="4"/>
  <c r="E57" i="4"/>
  <c r="N67" i="4"/>
  <c r="E56" i="4"/>
  <c r="N24" i="4"/>
  <c r="N32" i="4" s="1"/>
  <c r="E13" i="4"/>
  <c r="E27" i="4" s="1"/>
  <c r="F12" i="4"/>
  <c r="G12" i="4" s="1"/>
  <c r="G56" i="4" s="1"/>
  <c r="F63" i="3"/>
  <c r="F64" i="3" s="1"/>
  <c r="F65" i="3" s="1"/>
  <c r="F66" i="3" s="1"/>
  <c r="F67" i="3" s="1"/>
  <c r="F68" i="3" s="1"/>
  <c r="F69" i="3" s="1"/>
  <c r="F70" i="3" s="1"/>
  <c r="F71" i="3" s="1"/>
  <c r="F72" i="3" s="1"/>
  <c r="F73" i="3" s="1"/>
  <c r="F74" i="3" s="1"/>
  <c r="F75" i="3" s="1"/>
  <c r="F76" i="3" s="1"/>
  <c r="F77" i="3" s="1"/>
  <c r="F78" i="3" s="1"/>
  <c r="F79" i="3" s="1"/>
  <c r="F80" i="3" s="1"/>
  <c r="F81" i="3" s="1"/>
  <c r="F82" i="3" s="1"/>
  <c r="F83" i="3" s="1"/>
  <c r="F20" i="3"/>
  <c r="F21" i="3" s="1"/>
  <c r="F29" i="3"/>
  <c r="F30" i="3" s="1"/>
  <c r="F31" i="3" s="1"/>
  <c r="F32" i="3" s="1"/>
  <c r="F33" i="3" s="1"/>
  <c r="F34" i="3" s="1"/>
  <c r="F35" i="3" s="1"/>
  <c r="F36" i="3" s="1"/>
  <c r="F37" i="3" s="1"/>
  <c r="K37" i="3"/>
  <c r="G57" i="5" s="1"/>
  <c r="J37" i="3"/>
  <c r="K36" i="3"/>
  <c r="G56" i="5" s="1"/>
  <c r="J36" i="3"/>
  <c r="G48" i="5" s="1"/>
  <c r="K35" i="3"/>
  <c r="G55" i="5" s="1"/>
  <c r="J35" i="3"/>
  <c r="G35" i="3"/>
  <c r="G36" i="3"/>
  <c r="G37" i="3"/>
  <c r="R38" i="3"/>
  <c r="P29" i="3"/>
  <c r="P30" i="3" s="1"/>
  <c r="P31" i="3" s="1"/>
  <c r="P32" i="3" s="1"/>
  <c r="P33" i="3" s="1"/>
  <c r="P34" i="3" s="1"/>
  <c r="P35" i="3" s="1"/>
  <c r="P36" i="3" s="1"/>
  <c r="P37" i="3" s="1"/>
  <c r="Q29" i="3"/>
  <c r="Q30" i="3" s="1"/>
  <c r="Q31" i="3" s="1"/>
  <c r="Q32" i="3" s="1"/>
  <c r="Q33" i="3" s="1"/>
  <c r="Q34" i="3" s="1"/>
  <c r="Q35" i="3" s="1"/>
  <c r="Q36" i="3" s="1"/>
  <c r="Q37" i="3" s="1"/>
  <c r="H37" i="3"/>
  <c r="G19" i="5" s="1"/>
  <c r="H36" i="3"/>
  <c r="G18" i="5" s="1"/>
  <c r="H35" i="3"/>
  <c r="G17" i="5" s="1"/>
  <c r="I37" i="3"/>
  <c r="G30" i="5" s="1"/>
  <c r="I36" i="3"/>
  <c r="G29" i="5" s="1"/>
  <c r="I35" i="3"/>
  <c r="G28" i="5" s="1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59" i="3"/>
  <c r="S59" i="3"/>
  <c r="S83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60" i="3"/>
  <c r="Q61" i="3"/>
  <c r="Q62" i="3"/>
  <c r="Q63" i="3"/>
  <c r="Q64" i="3"/>
  <c r="Q59" i="3"/>
  <c r="B6" i="5"/>
  <c r="D56" i="5"/>
  <c r="D55" i="5"/>
  <c r="D54" i="5"/>
  <c r="G54" i="5" s="1"/>
  <c r="D48" i="5"/>
  <c r="D47" i="5"/>
  <c r="D46" i="5"/>
  <c r="G46" i="5" s="1"/>
  <c r="B55" i="5"/>
  <c r="B56" i="5" s="1"/>
  <c r="B57" i="5" s="1"/>
  <c r="B47" i="5"/>
  <c r="B48" i="5" s="1"/>
  <c r="B49" i="5" s="1"/>
  <c r="D29" i="5"/>
  <c r="D28" i="5"/>
  <c r="D27" i="5"/>
  <c r="B28" i="5"/>
  <c r="D18" i="5"/>
  <c r="D17" i="5"/>
  <c r="D16" i="5"/>
  <c r="B17" i="5"/>
  <c r="D40" i="5"/>
  <c r="D39" i="5"/>
  <c r="D38" i="5"/>
  <c r="B39" i="5"/>
  <c r="B40" i="5" s="1"/>
  <c r="B41" i="5" s="1"/>
  <c r="G62" i="4" l="1"/>
  <c r="G71" i="4"/>
  <c r="E62" i="4"/>
  <c r="E71" i="4"/>
  <c r="E15" i="4"/>
  <c r="E19" i="4"/>
  <c r="H55" i="5"/>
  <c r="H18" i="5"/>
  <c r="H19" i="5"/>
  <c r="H56" i="5"/>
  <c r="H30" i="5"/>
  <c r="H57" i="5"/>
  <c r="B7" i="5"/>
  <c r="B18" i="5"/>
  <c r="H29" i="5"/>
  <c r="B29" i="5"/>
  <c r="K45" i="4"/>
  <c r="J88" i="4"/>
  <c r="J131" i="4" s="1"/>
  <c r="J160" i="4" s="1"/>
  <c r="E125" i="4"/>
  <c r="E82" i="4"/>
  <c r="E58" i="4"/>
  <c r="G58" i="4"/>
  <c r="F57" i="4"/>
  <c r="G57" i="4"/>
  <c r="G82" i="4" s="1"/>
  <c r="G99" i="4"/>
  <c r="F99" i="4"/>
  <c r="G47" i="5"/>
  <c r="H47" i="5" s="1"/>
  <c r="G49" i="5"/>
  <c r="H49" i="5" s="1"/>
  <c r="G100" i="4"/>
  <c r="F100" i="4"/>
  <c r="D5" i="5"/>
  <c r="F56" i="4"/>
  <c r="H12" i="4"/>
  <c r="G13" i="4"/>
  <c r="G27" i="4" s="1"/>
  <c r="F13" i="4"/>
  <c r="F27" i="4" s="1"/>
  <c r="E48" i="5"/>
  <c r="G38" i="5"/>
  <c r="G5" i="5" s="1"/>
  <c r="D7" i="5"/>
  <c r="D6" i="5"/>
  <c r="R42" i="3"/>
  <c r="S28" i="3" s="1"/>
  <c r="G16" i="5"/>
  <c r="H17" i="5" s="1"/>
  <c r="G27" i="5"/>
  <c r="H28" i="5" s="1"/>
  <c r="S86" i="3"/>
  <c r="S88" i="3" s="1"/>
  <c r="AL53" i="4" s="1"/>
  <c r="AX53" i="4" s="1"/>
  <c r="T86" i="3"/>
  <c r="E18" i="5"/>
  <c r="N20" i="5" s="1"/>
  <c r="N21" i="5" s="1"/>
  <c r="N22" i="5" s="1"/>
  <c r="E47" i="5"/>
  <c r="E55" i="5"/>
  <c r="E28" i="5"/>
  <c r="E17" i="5"/>
  <c r="E39" i="5"/>
  <c r="E56" i="5"/>
  <c r="E29" i="5"/>
  <c r="N31" i="5" s="1"/>
  <c r="E40" i="5"/>
  <c r="F62" i="4" l="1"/>
  <c r="F71" i="4"/>
  <c r="F15" i="4"/>
  <c r="F19" i="4"/>
  <c r="G15" i="4"/>
  <c r="G19" i="4"/>
  <c r="H48" i="5"/>
  <c r="B19" i="5"/>
  <c r="B8" i="5"/>
  <c r="B30" i="5"/>
  <c r="K88" i="4"/>
  <c r="K131" i="4" s="1"/>
  <c r="K160" i="4" s="1"/>
  <c r="L45" i="4"/>
  <c r="G125" i="4"/>
  <c r="F125" i="4"/>
  <c r="F82" i="4"/>
  <c r="F58" i="4"/>
  <c r="R41" i="3"/>
  <c r="S29" i="3" s="1"/>
  <c r="S30" i="3" s="1"/>
  <c r="S31" i="3" s="1"/>
  <c r="S32" i="3" s="1"/>
  <c r="S33" i="3" s="1"/>
  <c r="S34" i="3" s="1"/>
  <c r="S35" i="3" s="1"/>
  <c r="H56" i="4"/>
  <c r="H100" i="4"/>
  <c r="H57" i="4"/>
  <c r="H99" i="4"/>
  <c r="H13" i="4"/>
  <c r="H27" i="4" s="1"/>
  <c r="I12" i="4"/>
  <c r="T92" i="3"/>
  <c r="AP96" i="4" s="1"/>
  <c r="BB96" i="4" s="1"/>
  <c r="T88" i="3"/>
  <c r="AL96" i="4" s="1"/>
  <c r="AX96" i="4" s="1"/>
  <c r="T97" i="3"/>
  <c r="AU96" i="4" s="1"/>
  <c r="BG96" i="4" s="1"/>
  <c r="T98" i="3"/>
  <c r="AV96" i="4" s="1"/>
  <c r="BH96" i="4" s="1"/>
  <c r="T96" i="3"/>
  <c r="AT96" i="4" s="1"/>
  <c r="BF96" i="4" s="1"/>
  <c r="T93" i="3"/>
  <c r="AQ96" i="4" s="1"/>
  <c r="BC96" i="4" s="1"/>
  <c r="T95" i="3"/>
  <c r="AS96" i="4" s="1"/>
  <c r="BE96" i="4" s="1"/>
  <c r="T99" i="3"/>
  <c r="AW96" i="4" s="1"/>
  <c r="BI96" i="4" s="1"/>
  <c r="T94" i="3"/>
  <c r="AR96" i="4" s="1"/>
  <c r="BD96" i="4" s="1"/>
  <c r="T91" i="3"/>
  <c r="AO96" i="4" s="1"/>
  <c r="BA96" i="4" s="1"/>
  <c r="N32" i="5"/>
  <c r="N33" i="5" s="1"/>
  <c r="T90" i="3"/>
  <c r="AN96" i="4" s="1"/>
  <c r="AZ96" i="4" s="1"/>
  <c r="T89" i="3"/>
  <c r="AM96" i="4" s="1"/>
  <c r="AY96" i="4" s="1"/>
  <c r="H62" i="4" l="1"/>
  <c r="H71" i="4"/>
  <c r="H15" i="4"/>
  <c r="H19" i="4"/>
  <c r="B31" i="5"/>
  <c r="B9" i="5"/>
  <c r="B20" i="5"/>
  <c r="M45" i="4"/>
  <c r="L88" i="4"/>
  <c r="L131" i="4" s="1"/>
  <c r="L160" i="4" s="1"/>
  <c r="H125" i="4"/>
  <c r="H82" i="4"/>
  <c r="H58" i="4"/>
  <c r="S36" i="3"/>
  <c r="V35" i="3"/>
  <c r="J17" i="5" s="1"/>
  <c r="U35" i="3"/>
  <c r="J39" i="5" s="1"/>
  <c r="Y35" i="3"/>
  <c r="J55" i="5" s="1"/>
  <c r="W35" i="3"/>
  <c r="J28" i="5" s="1"/>
  <c r="X35" i="3"/>
  <c r="J47" i="5" s="1"/>
  <c r="I56" i="4"/>
  <c r="I100" i="4"/>
  <c r="I57" i="4"/>
  <c r="I99" i="4"/>
  <c r="J12" i="4"/>
  <c r="I13" i="4"/>
  <c r="I27" i="4" s="1"/>
  <c r="T100" i="3"/>
  <c r="I62" i="4" l="1"/>
  <c r="I71" i="4"/>
  <c r="I15" i="4"/>
  <c r="I19" i="4"/>
  <c r="B21" i="5"/>
  <c r="B22" i="5" s="1"/>
  <c r="B10" i="5"/>
  <c r="B11" i="5" s="1"/>
  <c r="B32" i="5"/>
  <c r="B33" i="5" s="1"/>
  <c r="N45" i="4"/>
  <c r="M88" i="4"/>
  <c r="M131" i="4" s="1"/>
  <c r="M160" i="4" s="1"/>
  <c r="I125" i="4"/>
  <c r="I82" i="4"/>
  <c r="I58" i="4"/>
  <c r="J6" i="5"/>
  <c r="S37" i="3"/>
  <c r="U36" i="3"/>
  <c r="J40" i="5" s="1"/>
  <c r="K40" i="5" s="1"/>
  <c r="Y36" i="3"/>
  <c r="J56" i="5" s="1"/>
  <c r="K56" i="5" s="1"/>
  <c r="W36" i="3"/>
  <c r="J29" i="5" s="1"/>
  <c r="V36" i="3"/>
  <c r="J18" i="5" s="1"/>
  <c r="X36" i="3"/>
  <c r="J48" i="5" s="1"/>
  <c r="K48" i="5" s="1"/>
  <c r="J56" i="4"/>
  <c r="J100" i="4"/>
  <c r="J57" i="4"/>
  <c r="J99" i="4"/>
  <c r="K12" i="4"/>
  <c r="J13" i="4"/>
  <c r="J27" i="4" s="1"/>
  <c r="J62" i="4" l="1"/>
  <c r="J71" i="4"/>
  <c r="J15" i="4"/>
  <c r="J19" i="4"/>
  <c r="K18" i="5"/>
  <c r="K29" i="5"/>
  <c r="O45" i="4"/>
  <c r="N88" i="4"/>
  <c r="N131" i="4" s="1"/>
  <c r="N160" i="4" s="1"/>
  <c r="J125" i="4"/>
  <c r="J82" i="4"/>
  <c r="J58" i="4"/>
  <c r="J7" i="5"/>
  <c r="V37" i="3"/>
  <c r="J19" i="5" s="1"/>
  <c r="Y37" i="3"/>
  <c r="J57" i="5" s="1"/>
  <c r="K57" i="5" s="1"/>
  <c r="U37" i="3"/>
  <c r="J41" i="5" s="1"/>
  <c r="K41" i="5" s="1"/>
  <c r="W37" i="3"/>
  <c r="J30" i="5" s="1"/>
  <c r="X37" i="3"/>
  <c r="J49" i="5" s="1"/>
  <c r="K49" i="5" s="1"/>
  <c r="S38" i="3"/>
  <c r="K56" i="4"/>
  <c r="K99" i="4"/>
  <c r="K100" i="4"/>
  <c r="K57" i="4"/>
  <c r="L12" i="4"/>
  <c r="K13" i="4"/>
  <c r="K27" i="4" s="1"/>
  <c r="K62" i="4" l="1"/>
  <c r="K71" i="4"/>
  <c r="K15" i="4"/>
  <c r="K19" i="4"/>
  <c r="K7" i="5"/>
  <c r="M30" i="5"/>
  <c r="M31" i="5" s="1"/>
  <c r="K30" i="5"/>
  <c r="M19" i="5"/>
  <c r="M20" i="5" s="1"/>
  <c r="K19" i="5"/>
  <c r="P45" i="4"/>
  <c r="O88" i="4"/>
  <c r="O131" i="4" s="1"/>
  <c r="O160" i="4" s="1"/>
  <c r="K125" i="4"/>
  <c r="K82" i="4"/>
  <c r="K58" i="4"/>
  <c r="J8" i="5"/>
  <c r="L56" i="4"/>
  <c r="L99" i="4"/>
  <c r="L100" i="4"/>
  <c r="L57" i="4"/>
  <c r="M12" i="4"/>
  <c r="L13" i="4"/>
  <c r="L27" i="4" s="1"/>
  <c r="L62" i="4" l="1"/>
  <c r="L71" i="4"/>
  <c r="L15" i="4"/>
  <c r="L19" i="4"/>
  <c r="M21" i="5"/>
  <c r="M22" i="5" s="1"/>
  <c r="M8" i="5"/>
  <c r="K8" i="5"/>
  <c r="M32" i="5"/>
  <c r="M33" i="5" s="1"/>
  <c r="Q45" i="4"/>
  <c r="P88" i="4"/>
  <c r="P131" i="4" s="1"/>
  <c r="P160" i="4" s="1"/>
  <c r="L82" i="4"/>
  <c r="L125" i="4"/>
  <c r="L58" i="4"/>
  <c r="M56" i="4"/>
  <c r="M99" i="4"/>
  <c r="M100" i="4"/>
  <c r="M57" i="4"/>
  <c r="N12" i="4"/>
  <c r="M13" i="4"/>
  <c r="M27" i="4" s="1"/>
  <c r="M62" i="4" l="1"/>
  <c r="M71" i="4"/>
  <c r="M15" i="4"/>
  <c r="M19" i="4"/>
  <c r="BD97" i="4"/>
  <c r="BD129" i="4" s="1"/>
  <c r="BF134" i="4" s="1"/>
  <c r="AY97" i="4"/>
  <c r="AY129" i="4" s="1"/>
  <c r="BA134" i="4" s="1"/>
  <c r="BH97" i="4"/>
  <c r="BH129" i="4" s="1"/>
  <c r="BJ134" i="4" s="1"/>
  <c r="BA97" i="4"/>
  <c r="BA129" i="4" s="1"/>
  <c r="BC134" i="4" s="1"/>
  <c r="BC97" i="4"/>
  <c r="BC129" i="4" s="1"/>
  <c r="BE134" i="4" s="1"/>
  <c r="AX97" i="4"/>
  <c r="BI97" i="4"/>
  <c r="BI129" i="4" s="1"/>
  <c r="BK134" i="4" s="1"/>
  <c r="BB97" i="4"/>
  <c r="BB129" i="4" s="1"/>
  <c r="BD134" i="4" s="1"/>
  <c r="AZ97" i="4"/>
  <c r="AZ129" i="4" s="1"/>
  <c r="BB134" i="4" s="1"/>
  <c r="BG97" i="4"/>
  <c r="BG129" i="4" s="1"/>
  <c r="BI134" i="4" s="1"/>
  <c r="BF97" i="4"/>
  <c r="BF129" i="4" s="1"/>
  <c r="BH134" i="4" s="1"/>
  <c r="BE97" i="4"/>
  <c r="BE129" i="4" s="1"/>
  <c r="BG134" i="4" s="1"/>
  <c r="AX54" i="4"/>
  <c r="AO97" i="4"/>
  <c r="AO129" i="4" s="1"/>
  <c r="AQ134" i="4" s="1"/>
  <c r="AN97" i="4"/>
  <c r="AN129" i="4" s="1"/>
  <c r="AP134" i="4" s="1"/>
  <c r="AT97" i="4"/>
  <c r="AT129" i="4" s="1"/>
  <c r="AV134" i="4" s="1"/>
  <c r="AV97" i="4"/>
  <c r="AV129" i="4" s="1"/>
  <c r="AX134" i="4" s="1"/>
  <c r="AS97" i="4"/>
  <c r="AS129" i="4" s="1"/>
  <c r="AU134" i="4" s="1"/>
  <c r="AR97" i="4"/>
  <c r="AR129" i="4" s="1"/>
  <c r="AT134" i="4" s="1"/>
  <c r="AM97" i="4"/>
  <c r="AM129" i="4" s="1"/>
  <c r="AO134" i="4" s="1"/>
  <c r="AL97" i="4"/>
  <c r="AL129" i="4" s="1"/>
  <c r="AN134" i="4" s="1"/>
  <c r="AW97" i="4"/>
  <c r="AW129" i="4" s="1"/>
  <c r="AY134" i="4" s="1"/>
  <c r="AU97" i="4"/>
  <c r="AU129" i="4" s="1"/>
  <c r="AW134" i="4" s="1"/>
  <c r="AQ97" i="4"/>
  <c r="AQ129" i="4" s="1"/>
  <c r="AS134" i="4" s="1"/>
  <c r="AP97" i="4"/>
  <c r="AP129" i="4" s="1"/>
  <c r="AR134" i="4" s="1"/>
  <c r="AL54" i="4"/>
  <c r="AL86" i="4" s="1"/>
  <c r="AN91" i="4" s="1"/>
  <c r="R45" i="4"/>
  <c r="Q88" i="4"/>
  <c r="Q131" i="4" s="1"/>
  <c r="Q160" i="4" s="1"/>
  <c r="M125" i="4"/>
  <c r="M82" i="4"/>
  <c r="M58" i="4"/>
  <c r="N56" i="4"/>
  <c r="N57" i="4"/>
  <c r="N13" i="4"/>
  <c r="N27" i="4" s="1"/>
  <c r="N62" i="4" l="1"/>
  <c r="N71" i="4"/>
  <c r="N15" i="4"/>
  <c r="N19" i="4"/>
  <c r="AX86" i="4"/>
  <c r="AZ91" i="4" s="1"/>
  <c r="AX129" i="4"/>
  <c r="AZ134" i="4" s="1"/>
  <c r="R88" i="4"/>
  <c r="R131" i="4" s="1"/>
  <c r="R160" i="4" s="1"/>
  <c r="S45" i="4"/>
  <c r="N82" i="4"/>
  <c r="N58" i="4"/>
  <c r="S88" i="4" l="1"/>
  <c r="S131" i="4" s="1"/>
  <c r="S160" i="4" s="1"/>
  <c r="T45" i="4"/>
  <c r="N28" i="4"/>
  <c r="N20" i="4"/>
  <c r="T88" i="4" l="1"/>
  <c r="T131" i="4" s="1"/>
  <c r="T160" i="4" s="1"/>
  <c r="U45" i="4"/>
  <c r="P89" i="3"/>
  <c r="S89" i="3" s="1"/>
  <c r="AM53" i="4" s="1"/>
  <c r="AY53" i="4" s="1"/>
  <c r="AY54" i="4" s="1"/>
  <c r="AY86" i="4" s="1"/>
  <c r="BA91" i="4" s="1"/>
  <c r="M48" i="3"/>
  <c r="M49" i="3"/>
  <c r="M50" i="3"/>
  <c r="M51" i="3"/>
  <c r="M52" i="3"/>
  <c r="M53" i="3"/>
  <c r="M54" i="3"/>
  <c r="M55" i="3"/>
  <c r="M56" i="3"/>
  <c r="M57" i="3"/>
  <c r="M58" i="3"/>
  <c r="M59" i="3"/>
  <c r="R59" i="3" s="1"/>
  <c r="M60" i="3"/>
  <c r="M61" i="3"/>
  <c r="R61" i="3" s="1"/>
  <c r="M62" i="3"/>
  <c r="M63" i="3"/>
  <c r="M64" i="3"/>
  <c r="M65" i="3"/>
  <c r="M66" i="3"/>
  <c r="M67" i="3"/>
  <c r="M68" i="3"/>
  <c r="M69" i="3"/>
  <c r="M70" i="3"/>
  <c r="M71" i="3"/>
  <c r="M72" i="3"/>
  <c r="M73" i="3"/>
  <c r="R73" i="3" s="1"/>
  <c r="M74" i="3"/>
  <c r="R74" i="3" s="1"/>
  <c r="M75" i="3"/>
  <c r="R75" i="3" s="1"/>
  <c r="M76" i="3"/>
  <c r="R76" i="3" s="1"/>
  <c r="M77" i="3"/>
  <c r="R77" i="3" s="1"/>
  <c r="M78" i="3"/>
  <c r="R78" i="3" s="1"/>
  <c r="M79" i="3"/>
  <c r="R79" i="3" s="1"/>
  <c r="M80" i="3"/>
  <c r="M81" i="3"/>
  <c r="M82" i="3"/>
  <c r="M83" i="3"/>
  <c r="M47" i="3"/>
  <c r="H13" i="3"/>
  <c r="E13" i="3"/>
  <c r="C13" i="3"/>
  <c r="F10" i="3"/>
  <c r="F9" i="3"/>
  <c r="F8" i="3"/>
  <c r="F7" i="3"/>
  <c r="F6" i="3"/>
  <c r="F5" i="3"/>
  <c r="F4" i="3"/>
  <c r="I10" i="3"/>
  <c r="I9" i="3"/>
  <c r="I8" i="3"/>
  <c r="I7" i="3"/>
  <c r="I6" i="3"/>
  <c r="I5" i="3"/>
  <c r="I4" i="3"/>
  <c r="H11" i="3"/>
  <c r="E11" i="3"/>
  <c r="C11" i="3"/>
  <c r="E110" i="4"/>
  <c r="E119" i="4" s="1"/>
  <c r="E105" i="4"/>
  <c r="E136" i="4"/>
  <c r="F132" i="4" s="1"/>
  <c r="F135" i="4" s="1"/>
  <c r="M119" i="4"/>
  <c r="L119" i="4"/>
  <c r="K119" i="4"/>
  <c r="J119" i="4"/>
  <c r="I119" i="4"/>
  <c r="H119" i="4"/>
  <c r="G119" i="4"/>
  <c r="F119" i="4"/>
  <c r="N76" i="4"/>
  <c r="G76" i="4"/>
  <c r="H76" i="4"/>
  <c r="I76" i="4"/>
  <c r="J76" i="4"/>
  <c r="K76" i="4"/>
  <c r="L76" i="4"/>
  <c r="M76" i="4"/>
  <c r="F67" i="4"/>
  <c r="F76" i="4" s="1"/>
  <c r="E67" i="4"/>
  <c r="E76" i="4" s="1"/>
  <c r="U88" i="4" l="1"/>
  <c r="U131" i="4" s="1"/>
  <c r="U160" i="4" s="1"/>
  <c r="V45" i="4"/>
  <c r="R66" i="3"/>
  <c r="I14" i="4"/>
  <c r="I39" i="4" s="1"/>
  <c r="R65" i="3"/>
  <c r="H14" i="4"/>
  <c r="H39" i="4" s="1"/>
  <c r="R64" i="3"/>
  <c r="G14" i="4"/>
  <c r="G39" i="4" s="1"/>
  <c r="R71" i="3"/>
  <c r="N14" i="4"/>
  <c r="R69" i="3"/>
  <c r="L14" i="4"/>
  <c r="L39" i="4" s="1"/>
  <c r="R68" i="3"/>
  <c r="K14" i="4"/>
  <c r="K39" i="4" s="1"/>
  <c r="R63" i="3"/>
  <c r="F14" i="4"/>
  <c r="F39" i="4" s="1"/>
  <c r="R62" i="3"/>
  <c r="E14" i="4"/>
  <c r="E39" i="4" s="1"/>
  <c r="R70" i="3"/>
  <c r="M14" i="4"/>
  <c r="M39" i="4" s="1"/>
  <c r="R67" i="3"/>
  <c r="J14" i="4"/>
  <c r="J39" i="4" s="1"/>
  <c r="E7" i="5"/>
  <c r="N9" i="5" s="1"/>
  <c r="R72" i="3"/>
  <c r="M37" i="3"/>
  <c r="G41" i="5" s="1"/>
  <c r="M35" i="3"/>
  <c r="R60" i="3"/>
  <c r="M36" i="3"/>
  <c r="E6" i="5"/>
  <c r="P90" i="3"/>
  <c r="AM54" i="4"/>
  <c r="AM86" i="4" s="1"/>
  <c r="AO91" i="4" s="1"/>
  <c r="R83" i="3"/>
  <c r="R82" i="3"/>
  <c r="R81" i="3"/>
  <c r="F13" i="3"/>
  <c r="R80" i="3"/>
  <c r="I13" i="3"/>
  <c r="F11" i="3"/>
  <c r="I11" i="3"/>
  <c r="E101" i="4"/>
  <c r="F136" i="4"/>
  <c r="G132" i="4" s="1"/>
  <c r="E114" i="4"/>
  <c r="V88" i="4" l="1"/>
  <c r="V131" i="4" s="1"/>
  <c r="V160" i="4" s="1"/>
  <c r="W45" i="4"/>
  <c r="N16" i="4"/>
  <c r="N21" i="4" s="1"/>
  <c r="N23" i="4" s="1"/>
  <c r="N25" i="4" s="1"/>
  <c r="N39" i="4"/>
  <c r="G40" i="5"/>
  <c r="G39" i="5"/>
  <c r="H39" i="5" s="1"/>
  <c r="G8" i="5"/>
  <c r="N10" i="5"/>
  <c r="N11" i="5" s="1"/>
  <c r="M9" i="5"/>
  <c r="R86" i="3"/>
  <c r="R88" i="3" s="1"/>
  <c r="AL10" i="4" s="1"/>
  <c r="AX10" i="4" s="1"/>
  <c r="P91" i="3"/>
  <c r="S90" i="3"/>
  <c r="AN53" i="4" s="1"/>
  <c r="AZ53" i="4" s="1"/>
  <c r="AZ54" i="4" s="1"/>
  <c r="AZ86" i="4" s="1"/>
  <c r="BB91" i="4" s="1"/>
  <c r="E106" i="4"/>
  <c r="E115" i="4"/>
  <c r="E102" i="4"/>
  <c r="H41" i="5" l="1"/>
  <c r="H40" i="5"/>
  <c r="X45" i="4"/>
  <c r="W88" i="4"/>
  <c r="W131" i="4" s="1"/>
  <c r="W160" i="4" s="1"/>
  <c r="N29" i="4"/>
  <c r="N31" i="4" s="1"/>
  <c r="N33" i="4" s="1"/>
  <c r="N35" i="4" s="1"/>
  <c r="N36" i="4" s="1"/>
  <c r="G6" i="5"/>
  <c r="H6" i="5" s="1"/>
  <c r="G7" i="5"/>
  <c r="M10" i="5"/>
  <c r="M11" i="5" s="1"/>
  <c r="R90" i="3"/>
  <c r="AN10" i="4" s="1"/>
  <c r="AZ10" i="4" s="1"/>
  <c r="R89" i="3"/>
  <c r="AM10" i="4" s="1"/>
  <c r="AY10" i="4" s="1"/>
  <c r="AN54" i="4"/>
  <c r="AN86" i="4" s="1"/>
  <c r="AP91" i="4" s="1"/>
  <c r="P92" i="3"/>
  <c r="S91" i="3"/>
  <c r="R91" i="3"/>
  <c r="AO10" i="4" s="1"/>
  <c r="BA10" i="4" s="1"/>
  <c r="E107" i="4"/>
  <c r="E109" i="4" s="1"/>
  <c r="E111" i="4" s="1"/>
  <c r="E116" i="4"/>
  <c r="E118" i="4" s="1"/>
  <c r="AO53" i="4" l="1"/>
  <c r="BA53" i="4" s="1"/>
  <c r="BA54" i="4" s="1"/>
  <c r="BA86" i="4" s="1"/>
  <c r="BC91" i="4" s="1"/>
  <c r="H7" i="5"/>
  <c r="AY11" i="4"/>
  <c r="BA11" i="4"/>
  <c r="AZ11" i="4"/>
  <c r="AX11" i="4"/>
  <c r="AL11" i="4"/>
  <c r="AL43" i="4" s="1"/>
  <c r="AN48" i="4" s="1"/>
  <c r="H8" i="5"/>
  <c r="Y45" i="4"/>
  <c r="X88" i="4"/>
  <c r="X131" i="4" s="1"/>
  <c r="X160" i="4" s="1"/>
  <c r="E120" i="4"/>
  <c r="E121" i="4" s="1"/>
  <c r="E124" i="4"/>
  <c r="E126" i="4" s="1"/>
  <c r="N38" i="4"/>
  <c r="N40" i="4" s="1"/>
  <c r="AO11" i="4"/>
  <c r="AM11" i="4"/>
  <c r="AN11" i="4"/>
  <c r="P93" i="3"/>
  <c r="S92" i="3"/>
  <c r="R92" i="3"/>
  <c r="AP10" i="4" s="1"/>
  <c r="BB10" i="4" s="1"/>
  <c r="BB11" i="4" s="1"/>
  <c r="P133" i="4"/>
  <c r="G32" i="4"/>
  <c r="H32" i="4"/>
  <c r="I32" i="4"/>
  <c r="J32" i="4"/>
  <c r="K32" i="4"/>
  <c r="L32" i="4"/>
  <c r="M32" i="4"/>
  <c r="E24" i="4"/>
  <c r="E32" i="4" s="1"/>
  <c r="F24" i="4"/>
  <c r="F32" i="4" s="1"/>
  <c r="I16" i="4"/>
  <c r="E16" i="4"/>
  <c r="G16" i="4"/>
  <c r="H16" i="4"/>
  <c r="J16" i="4"/>
  <c r="K16" i="4"/>
  <c r="L16" i="4"/>
  <c r="M16" i="4"/>
  <c r="F16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AP47" i="4"/>
  <c r="AQ47" i="4"/>
  <c r="AR47" i="4"/>
  <c r="AS47" i="4"/>
  <c r="AT47" i="4"/>
  <c r="AU47" i="4"/>
  <c r="AV47" i="4"/>
  <c r="AW47" i="4"/>
  <c r="AX47" i="4"/>
  <c r="AY47" i="4"/>
  <c r="AP53" i="4" l="1"/>
  <c r="BB53" i="4" s="1"/>
  <c r="BB54" i="4" s="1"/>
  <c r="BB86" i="4" s="1"/>
  <c r="BD91" i="4" s="1"/>
  <c r="AO54" i="4"/>
  <c r="AO86" i="4" s="1"/>
  <c r="AQ91" i="4" s="1"/>
  <c r="BA43" i="4"/>
  <c r="BC48" i="4" s="1"/>
  <c r="BB43" i="4"/>
  <c r="BD48" i="4" s="1"/>
  <c r="AZ43" i="4"/>
  <c r="BB48" i="4" s="1"/>
  <c r="AY43" i="4"/>
  <c r="BA48" i="4" s="1"/>
  <c r="AM43" i="4"/>
  <c r="AO48" i="4" s="1"/>
  <c r="AO43" i="4"/>
  <c r="AQ48" i="4" s="1"/>
  <c r="AN43" i="4"/>
  <c r="AP48" i="4" s="1"/>
  <c r="Z45" i="4"/>
  <c r="Y88" i="4"/>
  <c r="Y131" i="4" s="1"/>
  <c r="Y160" i="4" s="1"/>
  <c r="AP11" i="4"/>
  <c r="P94" i="3"/>
  <c r="S93" i="3"/>
  <c r="R93" i="3"/>
  <c r="AQ10" i="4" s="1"/>
  <c r="BC10" i="4" s="1"/>
  <c r="BC11" i="4" s="1"/>
  <c r="BC43" i="4" s="1"/>
  <c r="BE48" i="4" s="1"/>
  <c r="I101" i="4"/>
  <c r="I102" i="4" s="1"/>
  <c r="I114" i="4"/>
  <c r="I105" i="4"/>
  <c r="H101" i="4"/>
  <c r="H102" i="4" s="1"/>
  <c r="H114" i="4"/>
  <c r="H105" i="4"/>
  <c r="L101" i="4"/>
  <c r="L102" i="4" s="1"/>
  <c r="L105" i="4"/>
  <c r="L114" i="4"/>
  <c r="J114" i="4"/>
  <c r="J101" i="4"/>
  <c r="J102" i="4" s="1"/>
  <c r="J105" i="4"/>
  <c r="N59" i="4"/>
  <c r="N73" i="4" s="1"/>
  <c r="M105" i="4"/>
  <c r="M101" i="4"/>
  <c r="M102" i="4" s="1"/>
  <c r="M114" i="4"/>
  <c r="K101" i="4"/>
  <c r="K102" i="4" s="1"/>
  <c r="K105" i="4"/>
  <c r="K114" i="4"/>
  <c r="G101" i="4"/>
  <c r="G102" i="4" s="1"/>
  <c r="G114" i="4"/>
  <c r="G105" i="4"/>
  <c r="F101" i="4"/>
  <c r="F102" i="4" s="1"/>
  <c r="F105" i="4"/>
  <c r="F114" i="4"/>
  <c r="G133" i="4"/>
  <c r="G135" i="4" s="1"/>
  <c r="E122" i="4"/>
  <c r="AQ53" i="4" l="1"/>
  <c r="BC53" i="4" s="1"/>
  <c r="BC54" i="4" s="1"/>
  <c r="BC86" i="4" s="1"/>
  <c r="BE91" i="4" s="1"/>
  <c r="AP54" i="4"/>
  <c r="AP86" i="4" s="1"/>
  <c r="AR91" i="4" s="1"/>
  <c r="AX43" i="4"/>
  <c r="AZ48" i="4" s="1"/>
  <c r="G136" i="4"/>
  <c r="H132" i="4" s="1"/>
  <c r="AP43" i="4"/>
  <c r="AR48" i="4" s="1"/>
  <c r="AA45" i="4"/>
  <c r="Z88" i="4"/>
  <c r="Z131" i="4" s="1"/>
  <c r="Z160" i="4" s="1"/>
  <c r="AQ11" i="4"/>
  <c r="P95" i="3"/>
  <c r="S94" i="3"/>
  <c r="R94" i="3"/>
  <c r="AR10" i="4" s="1"/>
  <c r="BD10" i="4" s="1"/>
  <c r="BD11" i="4" s="1"/>
  <c r="BD43" i="4" s="1"/>
  <c r="BF48" i="4" s="1"/>
  <c r="N72" i="4"/>
  <c r="N75" i="4" s="1"/>
  <c r="I116" i="4"/>
  <c r="I107" i="4"/>
  <c r="L115" i="4"/>
  <c r="L106" i="4"/>
  <c r="F115" i="4"/>
  <c r="F106" i="4"/>
  <c r="H107" i="4"/>
  <c r="H116" i="4"/>
  <c r="G107" i="4"/>
  <c r="G116" i="4"/>
  <c r="J116" i="4"/>
  <c r="J107" i="4"/>
  <c r="H106" i="4"/>
  <c r="H115" i="4"/>
  <c r="K116" i="4"/>
  <c r="K107" i="4"/>
  <c r="F107" i="4"/>
  <c r="F116" i="4"/>
  <c r="N64" i="4"/>
  <c r="L107" i="4"/>
  <c r="L116" i="4"/>
  <c r="K115" i="4"/>
  <c r="K106" i="4"/>
  <c r="M106" i="4"/>
  <c r="M115" i="4"/>
  <c r="J115" i="4"/>
  <c r="J106" i="4"/>
  <c r="M116" i="4"/>
  <c r="M107" i="4"/>
  <c r="N63" i="4"/>
  <c r="G106" i="4"/>
  <c r="G115" i="4"/>
  <c r="I106" i="4"/>
  <c r="I115" i="4"/>
  <c r="L63" i="4"/>
  <c r="H72" i="4"/>
  <c r="M20" i="4"/>
  <c r="L20" i="4"/>
  <c r="K20" i="4"/>
  <c r="I20" i="4"/>
  <c r="G20" i="4"/>
  <c r="F20" i="4"/>
  <c r="AR53" i="4" l="1"/>
  <c r="BD53" i="4" s="1"/>
  <c r="BD54" i="4" s="1"/>
  <c r="BD86" i="4" s="1"/>
  <c r="BF91" i="4" s="1"/>
  <c r="AQ54" i="4"/>
  <c r="AQ86" i="4" s="1"/>
  <c r="AS91" i="4" s="1"/>
  <c r="AQ43" i="4"/>
  <c r="AS48" i="4" s="1"/>
  <c r="AB45" i="4"/>
  <c r="AA88" i="4"/>
  <c r="AA131" i="4" s="1"/>
  <c r="AA160" i="4" s="1"/>
  <c r="N77" i="4"/>
  <c r="N81" i="4"/>
  <c r="N83" i="4" s="1"/>
  <c r="L118" i="4"/>
  <c r="L124" i="4" s="1"/>
  <c r="L126" i="4" s="1"/>
  <c r="AR11" i="4"/>
  <c r="AR43" i="4" s="1"/>
  <c r="I109" i="4"/>
  <c r="K109" i="4"/>
  <c r="P96" i="3"/>
  <c r="S95" i="3"/>
  <c r="R95" i="3"/>
  <c r="AS10" i="4" s="1"/>
  <c r="BE10" i="4" s="1"/>
  <c r="BE11" i="4" s="1"/>
  <c r="BE43" i="4" s="1"/>
  <c r="BG48" i="4" s="1"/>
  <c r="J109" i="4"/>
  <c r="K118" i="4"/>
  <c r="K124" i="4" s="1"/>
  <c r="K126" i="4" s="1"/>
  <c r="H118" i="4"/>
  <c r="H124" i="4" s="1"/>
  <c r="H126" i="4" s="1"/>
  <c r="I118" i="4"/>
  <c r="I124" i="4" s="1"/>
  <c r="I126" i="4" s="1"/>
  <c r="F118" i="4"/>
  <c r="F124" i="4" s="1"/>
  <c r="F126" i="4" s="1"/>
  <c r="M118" i="4"/>
  <c r="M124" i="4" s="1"/>
  <c r="M126" i="4" s="1"/>
  <c r="G118" i="4"/>
  <c r="G124" i="4" s="1"/>
  <c r="G126" i="4" s="1"/>
  <c r="M109" i="4"/>
  <c r="L109" i="4"/>
  <c r="J118" i="4"/>
  <c r="J124" i="4" s="1"/>
  <c r="J126" i="4" s="1"/>
  <c r="H109" i="4"/>
  <c r="F109" i="4"/>
  <c r="F111" i="4" s="1"/>
  <c r="G109" i="4"/>
  <c r="N66" i="4"/>
  <c r="N68" i="4" s="1"/>
  <c r="L72" i="4"/>
  <c r="L59" i="4"/>
  <c r="L73" i="4" s="1"/>
  <c r="F72" i="4"/>
  <c r="K59" i="4"/>
  <c r="K72" i="4"/>
  <c r="K63" i="4"/>
  <c r="M63" i="4"/>
  <c r="M72" i="4"/>
  <c r="E63" i="4"/>
  <c r="E72" i="4"/>
  <c r="G59" i="4"/>
  <c r="G72" i="4"/>
  <c r="G63" i="4"/>
  <c r="I72" i="4"/>
  <c r="I63" i="4"/>
  <c r="E59" i="4"/>
  <c r="M59" i="4"/>
  <c r="H59" i="4"/>
  <c r="J59" i="4"/>
  <c r="I59" i="4"/>
  <c r="H63" i="4"/>
  <c r="L28" i="4"/>
  <c r="M28" i="4"/>
  <c r="G28" i="4"/>
  <c r="K28" i="4"/>
  <c r="H20" i="4"/>
  <c r="H28" i="4"/>
  <c r="J20" i="4"/>
  <c r="J28" i="4"/>
  <c r="I28" i="4"/>
  <c r="F28" i="4"/>
  <c r="E28" i="4"/>
  <c r="AS53" i="4" l="1"/>
  <c r="BE53" i="4" s="1"/>
  <c r="BE54" i="4" s="1"/>
  <c r="BE86" i="4" s="1"/>
  <c r="BG91" i="4" s="1"/>
  <c r="AR54" i="4"/>
  <c r="AR86" i="4" s="1"/>
  <c r="AT91" i="4" s="1"/>
  <c r="I111" i="4"/>
  <c r="J111" i="4"/>
  <c r="G111" i="4"/>
  <c r="K111" i="4"/>
  <c r="L111" i="4"/>
  <c r="H111" i="4"/>
  <c r="M111" i="4"/>
  <c r="AC45" i="4"/>
  <c r="AB88" i="4"/>
  <c r="N78" i="4"/>
  <c r="P90" i="4" s="1"/>
  <c r="I120" i="4"/>
  <c r="H120" i="4"/>
  <c r="K120" i="4"/>
  <c r="L120" i="4"/>
  <c r="M120" i="4"/>
  <c r="F120" i="4"/>
  <c r="F121" i="4" s="1"/>
  <c r="H133" i="4" s="1"/>
  <c r="H135" i="4" s="1"/>
  <c r="J120" i="4"/>
  <c r="G120" i="4"/>
  <c r="AS11" i="4"/>
  <c r="AS43" i="4" s="1"/>
  <c r="P97" i="3"/>
  <c r="S96" i="3"/>
  <c r="R96" i="3"/>
  <c r="AT10" i="4" s="1"/>
  <c r="BF10" i="4" s="1"/>
  <c r="BF11" i="4" s="1"/>
  <c r="BF43" i="4" s="1"/>
  <c r="BH48" i="4" s="1"/>
  <c r="L75" i="4"/>
  <c r="L64" i="4"/>
  <c r="L66" i="4" s="1"/>
  <c r="L68" i="4" s="1"/>
  <c r="F63" i="4"/>
  <c r="F59" i="4"/>
  <c r="K64" i="4"/>
  <c r="K66" i="4" s="1"/>
  <c r="K68" i="4" s="1"/>
  <c r="K73" i="4"/>
  <c r="K75" i="4" s="1"/>
  <c r="M73" i="4"/>
  <c r="M75" i="4" s="1"/>
  <c r="M64" i="4"/>
  <c r="M66" i="4" s="1"/>
  <c r="M68" i="4" s="1"/>
  <c r="G73" i="4"/>
  <c r="G75" i="4" s="1"/>
  <c r="G64" i="4"/>
  <c r="G66" i="4" s="1"/>
  <c r="G68" i="4" s="1"/>
  <c r="E64" i="4"/>
  <c r="E66" i="4" s="1"/>
  <c r="E68" i="4" s="1"/>
  <c r="E73" i="4"/>
  <c r="E75" i="4" s="1"/>
  <c r="I73" i="4"/>
  <c r="I75" i="4" s="1"/>
  <c r="I64" i="4"/>
  <c r="I66" i="4" s="1"/>
  <c r="I68" i="4" s="1"/>
  <c r="J64" i="4"/>
  <c r="J73" i="4"/>
  <c r="J72" i="4"/>
  <c r="J63" i="4"/>
  <c r="H73" i="4"/>
  <c r="H75" i="4" s="1"/>
  <c r="H64" i="4"/>
  <c r="H66" i="4" s="1"/>
  <c r="H68" i="4" s="1"/>
  <c r="M21" i="4"/>
  <c r="M23" i="4" s="1"/>
  <c r="M25" i="4" s="1"/>
  <c r="M29" i="4"/>
  <c r="M31" i="4" s="1"/>
  <c r="L21" i="4"/>
  <c r="L23" i="4" s="1"/>
  <c r="L25" i="4" s="1"/>
  <c r="L29" i="4"/>
  <c r="L31" i="4" s="1"/>
  <c r="F21" i="4"/>
  <c r="F23" i="4" s="1"/>
  <c r="F25" i="4" s="1"/>
  <c r="F29" i="4"/>
  <c r="F31" i="4" s="1"/>
  <c r="G21" i="4"/>
  <c r="G23" i="4" s="1"/>
  <c r="G25" i="4" s="1"/>
  <c r="G29" i="4"/>
  <c r="G31" i="4" s="1"/>
  <c r="H21" i="4"/>
  <c r="H23" i="4" s="1"/>
  <c r="H25" i="4" s="1"/>
  <c r="H29" i="4"/>
  <c r="H31" i="4" s="1"/>
  <c r="I21" i="4"/>
  <c r="I23" i="4" s="1"/>
  <c r="I25" i="4" s="1"/>
  <c r="I29" i="4"/>
  <c r="I31" i="4" s="1"/>
  <c r="J21" i="4"/>
  <c r="J23" i="4" s="1"/>
  <c r="J25" i="4" s="1"/>
  <c r="J29" i="4"/>
  <c r="J31" i="4" s="1"/>
  <c r="K21" i="4"/>
  <c r="K23" i="4" s="1"/>
  <c r="K25" i="4" s="1"/>
  <c r="K29" i="4"/>
  <c r="K31" i="4" s="1"/>
  <c r="E29" i="4"/>
  <c r="E20" i="4"/>
  <c r="AT53" i="4" l="1"/>
  <c r="BF53" i="4" s="1"/>
  <c r="BF54" i="4" s="1"/>
  <c r="BF86" i="4" s="1"/>
  <c r="BH91" i="4" s="1"/>
  <c r="AS54" i="4"/>
  <c r="AS86" i="4" s="1"/>
  <c r="AU91" i="4" s="1"/>
  <c r="H136" i="4"/>
  <c r="I132" i="4" s="1"/>
  <c r="I121" i="4"/>
  <c r="I122" i="4" s="1"/>
  <c r="J121" i="4"/>
  <c r="J122" i="4" s="1"/>
  <c r="G121" i="4"/>
  <c r="I133" i="4" s="1"/>
  <c r="AB131" i="4"/>
  <c r="AB160" i="4" s="1"/>
  <c r="K121" i="4"/>
  <c r="M133" i="4" s="1"/>
  <c r="L121" i="4"/>
  <c r="N133" i="4" s="1"/>
  <c r="H121" i="4"/>
  <c r="J133" i="4" s="1"/>
  <c r="M121" i="4"/>
  <c r="O133" i="4" s="1"/>
  <c r="AD45" i="4"/>
  <c r="AC88" i="4"/>
  <c r="N79" i="4"/>
  <c r="L77" i="4"/>
  <c r="L78" i="4" s="1"/>
  <c r="N90" i="4" s="1"/>
  <c r="L81" i="4"/>
  <c r="L83" i="4" s="1"/>
  <c r="I77" i="4"/>
  <c r="I78" i="4" s="1"/>
  <c r="K90" i="4" s="1"/>
  <c r="I81" i="4"/>
  <c r="I83" i="4" s="1"/>
  <c r="G77" i="4"/>
  <c r="G78" i="4" s="1"/>
  <c r="I90" i="4" s="1"/>
  <c r="G81" i="4"/>
  <c r="G83" i="4" s="1"/>
  <c r="M77" i="4"/>
  <c r="M78" i="4" s="1"/>
  <c r="O90" i="4" s="1"/>
  <c r="M81" i="4"/>
  <c r="M83" i="4" s="1"/>
  <c r="K77" i="4"/>
  <c r="K78" i="4" s="1"/>
  <c r="M90" i="4" s="1"/>
  <c r="K81" i="4"/>
  <c r="K83" i="4" s="1"/>
  <c r="H77" i="4"/>
  <c r="H78" i="4" s="1"/>
  <c r="J90" i="4" s="1"/>
  <c r="H81" i="4"/>
  <c r="H83" i="4" s="1"/>
  <c r="E77" i="4"/>
  <c r="E78" i="4" s="1"/>
  <c r="G90" i="4" s="1"/>
  <c r="E81" i="4"/>
  <c r="E83" i="4" s="1"/>
  <c r="G33" i="4"/>
  <c r="G35" i="4" s="1"/>
  <c r="I47" i="4" s="1"/>
  <c r="G38" i="4"/>
  <c r="G40" i="4" s="1"/>
  <c r="F33" i="4"/>
  <c r="F35" i="4" s="1"/>
  <c r="F38" i="4"/>
  <c r="F40" i="4" s="1"/>
  <c r="L33" i="4"/>
  <c r="L35" i="4" s="1"/>
  <c r="N47" i="4" s="1"/>
  <c r="L38" i="4"/>
  <c r="L40" i="4" s="1"/>
  <c r="K33" i="4"/>
  <c r="K35" i="4" s="1"/>
  <c r="K38" i="4"/>
  <c r="K40" i="4" s="1"/>
  <c r="M33" i="4"/>
  <c r="M35" i="4" s="1"/>
  <c r="O47" i="4" s="1"/>
  <c r="M38" i="4"/>
  <c r="M40" i="4" s="1"/>
  <c r="J33" i="4"/>
  <c r="J35" i="4" s="1"/>
  <c r="L47" i="4" s="1"/>
  <c r="J38" i="4"/>
  <c r="J40" i="4" s="1"/>
  <c r="I33" i="4"/>
  <c r="I35" i="4" s="1"/>
  <c r="K47" i="4" s="1"/>
  <c r="I38" i="4"/>
  <c r="I40" i="4" s="1"/>
  <c r="H33" i="4"/>
  <c r="H35" i="4" s="1"/>
  <c r="J47" i="4" s="1"/>
  <c r="H38" i="4"/>
  <c r="H40" i="4" s="1"/>
  <c r="F122" i="4"/>
  <c r="AT11" i="4"/>
  <c r="AT43" i="4" s="1"/>
  <c r="P98" i="3"/>
  <c r="S97" i="3"/>
  <c r="R97" i="3"/>
  <c r="AU10" i="4" s="1"/>
  <c r="BG10" i="4" s="1"/>
  <c r="BG11" i="4" s="1"/>
  <c r="BG43" i="4" s="1"/>
  <c r="BI48" i="4" s="1"/>
  <c r="J75" i="4"/>
  <c r="F73" i="4"/>
  <c r="F75" i="4" s="1"/>
  <c r="F64" i="4"/>
  <c r="F66" i="4" s="1"/>
  <c r="F68" i="4" s="1"/>
  <c r="J66" i="4"/>
  <c r="J68" i="4" s="1"/>
  <c r="E21" i="4"/>
  <c r="E23" i="4" s="1"/>
  <c r="E25" i="4" s="1"/>
  <c r="E31" i="4"/>
  <c r="AU53" i="4" l="1"/>
  <c r="BG53" i="4" s="1"/>
  <c r="BG54" i="4" s="1"/>
  <c r="BG86" i="4" s="1"/>
  <c r="BI91" i="4" s="1"/>
  <c r="AT54" i="4"/>
  <c r="AT86" i="4" s="1"/>
  <c r="AV91" i="4" s="1"/>
  <c r="I135" i="4"/>
  <c r="I136" i="4" s="1"/>
  <c r="J132" i="4" s="1"/>
  <c r="J135" i="4" s="1"/>
  <c r="G122" i="4"/>
  <c r="L133" i="4"/>
  <c r="K133" i="4"/>
  <c r="M122" i="4"/>
  <c r="AC131" i="4"/>
  <c r="AC160" i="4" s="1"/>
  <c r="K122" i="4"/>
  <c r="L122" i="4"/>
  <c r="H122" i="4"/>
  <c r="AE45" i="4"/>
  <c r="AD88" i="4"/>
  <c r="F77" i="4"/>
  <c r="F78" i="4" s="1"/>
  <c r="H90" i="4" s="1"/>
  <c r="F81" i="4"/>
  <c r="F83" i="4" s="1"/>
  <c r="J77" i="4"/>
  <c r="J78" i="4" s="1"/>
  <c r="L90" i="4" s="1"/>
  <c r="J81" i="4"/>
  <c r="J83" i="4" s="1"/>
  <c r="E33" i="4"/>
  <c r="E35" i="4" s="1"/>
  <c r="G47" i="4" s="1"/>
  <c r="E38" i="4"/>
  <c r="E40" i="4" s="1"/>
  <c r="AU11" i="4"/>
  <c r="AU43" i="4" s="1"/>
  <c r="P99" i="3"/>
  <c r="S98" i="3"/>
  <c r="R98" i="3"/>
  <c r="AV10" i="4" s="1"/>
  <c r="BH10" i="4" s="1"/>
  <c r="BH11" i="4" s="1"/>
  <c r="BH43" i="4" s="1"/>
  <c r="BJ48" i="4" s="1"/>
  <c r="J36" i="4"/>
  <c r="K36" i="4"/>
  <c r="M47" i="4"/>
  <c r="F36" i="4"/>
  <c r="H47" i="4"/>
  <c r="G79" i="4"/>
  <c r="M79" i="4"/>
  <c r="K79" i="4"/>
  <c r="I79" i="4"/>
  <c r="E79" i="4"/>
  <c r="H79" i="4"/>
  <c r="L79" i="4"/>
  <c r="H36" i="4"/>
  <c r="L36" i="4"/>
  <c r="G36" i="4"/>
  <c r="M36" i="4"/>
  <c r="I36" i="4"/>
  <c r="AV53" i="4" l="1"/>
  <c r="BH53" i="4" s="1"/>
  <c r="BH54" i="4" s="1"/>
  <c r="BH86" i="4" s="1"/>
  <c r="BJ91" i="4" s="1"/>
  <c r="AU54" i="4"/>
  <c r="AU86" i="4" s="1"/>
  <c r="AW91" i="4" s="1"/>
  <c r="J136" i="4"/>
  <c r="K132" i="4" s="1"/>
  <c r="K135" i="4" s="1"/>
  <c r="AD131" i="4"/>
  <c r="AD160" i="4" s="1"/>
  <c r="AF45" i="4"/>
  <c r="AE88" i="4"/>
  <c r="AV11" i="4"/>
  <c r="AV43" i="4" s="1"/>
  <c r="S99" i="3"/>
  <c r="AW53" i="4" s="1"/>
  <c r="R99" i="3"/>
  <c r="AW10" i="4" s="1"/>
  <c r="BI10" i="4" s="1"/>
  <c r="BI11" i="4" s="1"/>
  <c r="BI43" i="4" s="1"/>
  <c r="BK48" i="4" s="1"/>
  <c r="E36" i="4"/>
  <c r="F79" i="4"/>
  <c r="J79" i="4"/>
  <c r="E93" i="4"/>
  <c r="F89" i="4" s="1"/>
  <c r="F92" i="4" s="1"/>
  <c r="E50" i="4"/>
  <c r="F46" i="4" s="1"/>
  <c r="D49" i="4"/>
  <c r="BI53" i="4" l="1"/>
  <c r="BI54" i="4" s="1"/>
  <c r="BI86" i="4" s="1"/>
  <c r="BK91" i="4" s="1"/>
  <c r="AW54" i="4"/>
  <c r="AV54" i="4"/>
  <c r="AV86" i="4" s="1"/>
  <c r="AX91" i="4" s="1"/>
  <c r="K136" i="4"/>
  <c r="L132" i="4" s="1"/>
  <c r="L135" i="4" s="1"/>
  <c r="AE131" i="4"/>
  <c r="AE160" i="4" s="1"/>
  <c r="AG45" i="4"/>
  <c r="AF88" i="4"/>
  <c r="AW11" i="4"/>
  <c r="AW43" i="4" s="1"/>
  <c r="R100" i="3"/>
  <c r="AW86" i="4"/>
  <c r="AY91" i="4" s="1"/>
  <c r="S100" i="3"/>
  <c r="F49" i="4"/>
  <c r="L136" i="4" l="1"/>
  <c r="M132" i="4" s="1"/>
  <c r="AF131" i="4"/>
  <c r="AF160" i="4" s="1"/>
  <c r="AH45" i="4"/>
  <c r="AG88" i="4"/>
  <c r="F50" i="4"/>
  <c r="G46" i="4" s="1"/>
  <c r="G49" i="4" s="1"/>
  <c r="F93" i="4"/>
  <c r="G89" i="4" s="1"/>
  <c r="G92" i="4" s="1"/>
  <c r="M135" i="4" l="1"/>
  <c r="M136" i="4" s="1"/>
  <c r="N132" i="4" s="1"/>
  <c r="G93" i="4"/>
  <c r="H89" i="4" s="1"/>
  <c r="H92" i="4" s="1"/>
  <c r="AG131" i="4"/>
  <c r="AG160" i="4" s="1"/>
  <c r="AI45" i="4"/>
  <c r="AH88" i="4"/>
  <c r="G50" i="4"/>
  <c r="H46" i="4" s="1"/>
  <c r="H49" i="4" s="1"/>
  <c r="N135" i="4" l="1"/>
  <c r="N136" i="4" s="1"/>
  <c r="O132" i="4" s="1"/>
  <c r="O135" i="4" s="1"/>
  <c r="AH131" i="4"/>
  <c r="AH160" i="4" s="1"/>
  <c r="AJ45" i="4"/>
  <c r="AI88" i="4"/>
  <c r="H93" i="4"/>
  <c r="I89" i="4" s="1"/>
  <c r="I92" i="4" s="1"/>
  <c r="H50" i="4"/>
  <c r="I46" i="4" s="1"/>
  <c r="I49" i="4" s="1"/>
  <c r="O136" i="4" l="1"/>
  <c r="P132" i="4" s="1"/>
  <c r="P135" i="4" s="1"/>
  <c r="AI131" i="4"/>
  <c r="AI160" i="4" s="1"/>
  <c r="AK45" i="4"/>
  <c r="AJ88" i="4"/>
  <c r="I50" i="4"/>
  <c r="J46" i="4" s="1"/>
  <c r="J49" i="4" s="1"/>
  <c r="I93" i="4"/>
  <c r="J89" i="4" s="1"/>
  <c r="J92" i="4" s="1"/>
  <c r="P136" i="4" l="1"/>
  <c r="Q132" i="4" s="1"/>
  <c r="Q135" i="4" s="1"/>
  <c r="Q136" i="4" s="1"/>
  <c r="R132" i="4" s="1"/>
  <c r="R135" i="4" s="1"/>
  <c r="AJ131" i="4"/>
  <c r="AJ160" i="4" s="1"/>
  <c r="AL45" i="4"/>
  <c r="AK88" i="4"/>
  <c r="J50" i="4"/>
  <c r="K46" i="4" s="1"/>
  <c r="K49" i="4" s="1"/>
  <c r="J93" i="4"/>
  <c r="K89" i="4" s="1"/>
  <c r="K92" i="4" s="1"/>
  <c r="R136" i="4" l="1"/>
  <c r="S132" i="4" s="1"/>
  <c r="S135" i="4" s="1"/>
  <c r="AK131" i="4"/>
  <c r="AK160" i="4" s="1"/>
  <c r="AM45" i="4"/>
  <c r="AL88" i="4"/>
  <c r="K93" i="4"/>
  <c r="L89" i="4" s="1"/>
  <c r="L92" i="4" s="1"/>
  <c r="K50" i="4"/>
  <c r="L46" i="4" s="1"/>
  <c r="L49" i="4" s="1"/>
  <c r="S136" i="4" l="1"/>
  <c r="T132" i="4" s="1"/>
  <c r="T135" i="4" s="1"/>
  <c r="AL131" i="4"/>
  <c r="AL160" i="4" s="1"/>
  <c r="AN45" i="4"/>
  <c r="AM88" i="4"/>
  <c r="L50" i="4"/>
  <c r="M46" i="4" s="1"/>
  <c r="M49" i="4" s="1"/>
  <c r="L93" i="4"/>
  <c r="M89" i="4" s="1"/>
  <c r="M92" i="4" s="1"/>
  <c r="T136" i="4" l="1"/>
  <c r="U132" i="4" s="1"/>
  <c r="U135" i="4" s="1"/>
  <c r="AM131" i="4"/>
  <c r="AM160" i="4" s="1"/>
  <c r="AO45" i="4"/>
  <c r="AN88" i="4"/>
  <c r="M93" i="4"/>
  <c r="N89" i="4" s="1"/>
  <c r="N92" i="4" s="1"/>
  <c r="M50" i="4"/>
  <c r="N46" i="4" s="1"/>
  <c r="N49" i="4" s="1"/>
  <c r="U136" i="4" l="1"/>
  <c r="V132" i="4" s="1"/>
  <c r="V135" i="4" s="1"/>
  <c r="AN131" i="4"/>
  <c r="AN160" i="4" s="1"/>
  <c r="AP45" i="4"/>
  <c r="AO88" i="4"/>
  <c r="N50" i="4"/>
  <c r="O46" i="4" s="1"/>
  <c r="O49" i="4" s="1"/>
  <c r="N93" i="4"/>
  <c r="O89" i="4" s="1"/>
  <c r="O92" i="4" s="1"/>
  <c r="V136" i="4" l="1"/>
  <c r="W132" i="4" s="1"/>
  <c r="W135" i="4" s="1"/>
  <c r="AO131" i="4"/>
  <c r="AO160" i="4" s="1"/>
  <c r="AQ45" i="4"/>
  <c r="AP88" i="4"/>
  <c r="O93" i="4"/>
  <c r="P89" i="4" s="1"/>
  <c r="P92" i="4" s="1"/>
  <c r="O50" i="4"/>
  <c r="P46" i="4" s="1"/>
  <c r="P49" i="4" s="1"/>
  <c r="W136" i="4" l="1"/>
  <c r="X132" i="4" s="1"/>
  <c r="X135" i="4" s="1"/>
  <c r="AP131" i="4"/>
  <c r="AP160" i="4" s="1"/>
  <c r="AR45" i="4"/>
  <c r="AQ88" i="4"/>
  <c r="P50" i="4"/>
  <c r="Q46" i="4" s="1"/>
  <c r="Q49" i="4" s="1"/>
  <c r="P93" i="4"/>
  <c r="Q89" i="4" s="1"/>
  <c r="Q92" i="4" s="1"/>
  <c r="X136" i="4" l="1"/>
  <c r="Y132" i="4" s="1"/>
  <c r="Y135" i="4" s="1"/>
  <c r="AQ131" i="4"/>
  <c r="AQ160" i="4" s="1"/>
  <c r="AS45" i="4"/>
  <c r="AR88" i="4"/>
  <c r="Q93" i="4"/>
  <c r="R89" i="4" s="1"/>
  <c r="R92" i="4" s="1"/>
  <c r="Q50" i="4"/>
  <c r="R46" i="4" s="1"/>
  <c r="R49" i="4" s="1"/>
  <c r="Y136" i="4" l="1"/>
  <c r="Z132" i="4" s="1"/>
  <c r="Z135" i="4" s="1"/>
  <c r="AR131" i="4"/>
  <c r="AR160" i="4" s="1"/>
  <c r="AT45" i="4"/>
  <c r="AS88" i="4"/>
  <c r="R93" i="4"/>
  <c r="S89" i="4" s="1"/>
  <c r="S92" i="4" s="1"/>
  <c r="R50" i="4"/>
  <c r="S46" i="4" s="1"/>
  <c r="S49" i="4" s="1"/>
  <c r="Z136" i="4" l="1"/>
  <c r="AA132" i="4" s="1"/>
  <c r="AA135" i="4" s="1"/>
  <c r="AS131" i="4"/>
  <c r="AS160" i="4" s="1"/>
  <c r="AU45" i="4"/>
  <c r="AT88" i="4"/>
  <c r="S50" i="4"/>
  <c r="T46" i="4" s="1"/>
  <c r="T49" i="4" s="1"/>
  <c r="S93" i="4"/>
  <c r="T89" i="4" s="1"/>
  <c r="T92" i="4" s="1"/>
  <c r="AT131" i="4" l="1"/>
  <c r="AT160" i="4" s="1"/>
  <c r="AV45" i="4"/>
  <c r="AU88" i="4"/>
  <c r="T50" i="4"/>
  <c r="U46" i="4" s="1"/>
  <c r="U49" i="4" s="1"/>
  <c r="T93" i="4"/>
  <c r="U89" i="4" s="1"/>
  <c r="U92" i="4" s="1"/>
  <c r="AU131" i="4" l="1"/>
  <c r="AU160" i="4" s="1"/>
  <c r="AW45" i="4"/>
  <c r="AV88" i="4"/>
  <c r="U50" i="4"/>
  <c r="V46" i="4" s="1"/>
  <c r="V49" i="4" s="1"/>
  <c r="U93" i="4"/>
  <c r="V89" i="4" s="1"/>
  <c r="V92" i="4" s="1"/>
  <c r="AV131" i="4" l="1"/>
  <c r="AV160" i="4" s="1"/>
  <c r="AX45" i="4"/>
  <c r="AW88" i="4"/>
  <c r="V93" i="4"/>
  <c r="W89" i="4" s="1"/>
  <c r="W92" i="4" s="1"/>
  <c r="V50" i="4"/>
  <c r="W46" i="4" s="1"/>
  <c r="W49" i="4" s="1"/>
  <c r="AW131" i="4" l="1"/>
  <c r="AW160" i="4" s="1"/>
  <c r="AY45" i="4"/>
  <c r="AX88" i="4"/>
  <c r="W93" i="4"/>
  <c r="X89" i="4" s="1"/>
  <c r="X92" i="4" s="1"/>
  <c r="W50" i="4"/>
  <c r="X46" i="4" s="1"/>
  <c r="X49" i="4" s="1"/>
  <c r="AX131" i="4" l="1"/>
  <c r="AX160" i="4" s="1"/>
  <c r="AZ45" i="4"/>
  <c r="AY88" i="4"/>
  <c r="X50" i="4"/>
  <c r="Y46" i="4" s="1"/>
  <c r="Y49" i="4" s="1"/>
  <c r="X93" i="4"/>
  <c r="Y89" i="4" s="1"/>
  <c r="Y92" i="4" s="1"/>
  <c r="BA45" i="4" l="1"/>
  <c r="AZ88" i="4"/>
  <c r="AZ131" i="4" s="1"/>
  <c r="AZ160" i="4" s="1"/>
  <c r="AY131" i="4"/>
  <c r="AY160" i="4" s="1"/>
  <c r="Y50" i="4"/>
  <c r="Z46" i="4" s="1"/>
  <c r="Z49" i="4" s="1"/>
  <c r="Y93" i="4"/>
  <c r="Z89" i="4" s="1"/>
  <c r="Z92" i="4" s="1"/>
  <c r="BB45" i="4" l="1"/>
  <c r="BA88" i="4"/>
  <c r="BA131" i="4" s="1"/>
  <c r="BA160" i="4" s="1"/>
  <c r="Z93" i="4"/>
  <c r="AA89" i="4" s="1"/>
  <c r="AA92" i="4" s="1"/>
  <c r="Z50" i="4"/>
  <c r="AA46" i="4" s="1"/>
  <c r="BC45" i="4" l="1"/>
  <c r="BB88" i="4"/>
  <c r="BB131" i="4" s="1"/>
  <c r="BB160" i="4" s="1"/>
  <c r="AA136" i="4"/>
  <c r="AB132" i="4" s="1"/>
  <c r="AB135" i="4" s="1"/>
  <c r="BD45" i="4" l="1"/>
  <c r="BC88" i="4"/>
  <c r="BC131" i="4" s="1"/>
  <c r="BC160" i="4" s="1"/>
  <c r="AB136" i="4"/>
  <c r="AC132" i="4" s="1"/>
  <c r="AC135" i="4" s="1"/>
  <c r="AA49" i="4"/>
  <c r="BE45" i="4" l="1"/>
  <c r="BD88" i="4"/>
  <c r="BD131" i="4" s="1"/>
  <c r="BD160" i="4" s="1"/>
  <c r="AC136" i="4"/>
  <c r="AD132" i="4" s="1"/>
  <c r="AD135" i="4" s="1"/>
  <c r="AA93" i="4"/>
  <c r="AB89" i="4" s="1"/>
  <c r="AB92" i="4" s="1"/>
  <c r="AA50" i="4"/>
  <c r="AB46" i="4" s="1"/>
  <c r="BF45" i="4" l="1"/>
  <c r="BE88" i="4"/>
  <c r="BE131" i="4" s="1"/>
  <c r="BE160" i="4" s="1"/>
  <c r="AD136" i="4"/>
  <c r="AE132" i="4" s="1"/>
  <c r="AE135" i="4" s="1"/>
  <c r="AB49" i="4"/>
  <c r="AB50" i="4" s="1"/>
  <c r="AC46" i="4" s="1"/>
  <c r="AC49" i="4" s="1"/>
  <c r="AY48" i="4"/>
  <c r="AX48" i="4"/>
  <c r="AT48" i="4"/>
  <c r="AU48" i="4"/>
  <c r="AV48" i="4"/>
  <c r="AW48" i="4"/>
  <c r="AB93" i="4"/>
  <c r="AC89" i="4" s="1"/>
  <c r="AC92" i="4" s="1"/>
  <c r="BG45" i="4" l="1"/>
  <c r="BF88" i="4"/>
  <c r="BF131" i="4" s="1"/>
  <c r="BF160" i="4" s="1"/>
  <c r="AE136" i="4"/>
  <c r="AF132" i="4" s="1"/>
  <c r="AF135" i="4" s="1"/>
  <c r="AC50" i="4"/>
  <c r="AD46" i="4" s="1"/>
  <c r="AD49" i="4" s="1"/>
  <c r="AC93" i="4"/>
  <c r="AD89" i="4" s="1"/>
  <c r="AD92" i="4" s="1"/>
  <c r="BH45" i="4" l="1"/>
  <c r="BG88" i="4"/>
  <c r="BG131" i="4" s="1"/>
  <c r="BG160" i="4" s="1"/>
  <c r="AF136" i="4"/>
  <c r="AG132" i="4" s="1"/>
  <c r="AG135" i="4" s="1"/>
  <c r="AD93" i="4"/>
  <c r="AE89" i="4" s="1"/>
  <c r="AE92" i="4" s="1"/>
  <c r="AD50" i="4"/>
  <c r="AE46" i="4" s="1"/>
  <c r="AE49" i="4" s="1"/>
  <c r="BI45" i="4" l="1"/>
  <c r="BH88" i="4"/>
  <c r="BH131" i="4" s="1"/>
  <c r="BH160" i="4" s="1"/>
  <c r="AG136" i="4"/>
  <c r="AH132" i="4" s="1"/>
  <c r="AH135" i="4" s="1"/>
  <c r="AE50" i="4"/>
  <c r="AF46" i="4" s="1"/>
  <c r="AF49" i="4" s="1"/>
  <c r="AE93" i="4"/>
  <c r="AF89" i="4" s="1"/>
  <c r="AF92" i="4" s="1"/>
  <c r="BJ45" i="4" l="1"/>
  <c r="BI88" i="4"/>
  <c r="BI131" i="4" s="1"/>
  <c r="BI160" i="4" s="1"/>
  <c r="AH136" i="4"/>
  <c r="AI132" i="4" s="1"/>
  <c r="AI135" i="4" s="1"/>
  <c r="AF93" i="4"/>
  <c r="AG89" i="4" s="1"/>
  <c r="AG92" i="4" s="1"/>
  <c r="AF50" i="4"/>
  <c r="AG46" i="4" s="1"/>
  <c r="AG49" i="4" s="1"/>
  <c r="BK45" i="4" l="1"/>
  <c r="BK88" i="4" s="1"/>
  <c r="BK131" i="4" s="1"/>
  <c r="BK160" i="4" s="1"/>
  <c r="BJ88" i="4"/>
  <c r="BJ131" i="4" s="1"/>
  <c r="BJ160" i="4" s="1"/>
  <c r="AI136" i="4"/>
  <c r="AJ132" i="4" s="1"/>
  <c r="AJ135" i="4" s="1"/>
  <c r="AG50" i="4"/>
  <c r="AH46" i="4" s="1"/>
  <c r="AH49" i="4" s="1"/>
  <c r="AG93" i="4"/>
  <c r="AH89" i="4" s="1"/>
  <c r="AH92" i="4" s="1"/>
  <c r="AJ136" i="4" l="1"/>
  <c r="AK132" i="4" s="1"/>
  <c r="AK135" i="4" s="1"/>
  <c r="AH93" i="4"/>
  <c r="AI89" i="4" s="1"/>
  <c r="AI92" i="4" s="1"/>
  <c r="AH50" i="4"/>
  <c r="AI46" i="4" s="1"/>
  <c r="AI49" i="4" s="1"/>
  <c r="AK136" i="4" l="1"/>
  <c r="AL132" i="4" s="1"/>
  <c r="AL135" i="4" s="1"/>
  <c r="AI50" i="4"/>
  <c r="AJ46" i="4" s="1"/>
  <c r="AJ49" i="4" s="1"/>
  <c r="AI93" i="4"/>
  <c r="AJ89" i="4" s="1"/>
  <c r="AJ92" i="4" s="1"/>
  <c r="AL136" i="4" l="1"/>
  <c r="AM132" i="4" s="1"/>
  <c r="AM135" i="4" s="1"/>
  <c r="AJ93" i="4"/>
  <c r="AK89" i="4" s="1"/>
  <c r="AK92" i="4" s="1"/>
  <c r="AJ50" i="4"/>
  <c r="AK46" i="4" s="1"/>
  <c r="AK49" i="4" s="1"/>
  <c r="AM136" i="4" l="1"/>
  <c r="AN132" i="4" s="1"/>
  <c r="AN135" i="4" s="1"/>
  <c r="AK50" i="4"/>
  <c r="AL46" i="4" s="1"/>
  <c r="AL49" i="4" s="1"/>
  <c r="AK93" i="4"/>
  <c r="AL89" i="4" s="1"/>
  <c r="AL92" i="4" s="1"/>
  <c r="AN136" i="4" l="1"/>
  <c r="AO132" i="4" s="1"/>
  <c r="AO135" i="4" s="1"/>
  <c r="AL93" i="4"/>
  <c r="AM89" i="4" s="1"/>
  <c r="AM92" i="4" s="1"/>
  <c r="AL50" i="4"/>
  <c r="AM46" i="4" s="1"/>
  <c r="AM49" i="4" s="1"/>
  <c r="AM93" i="4" l="1"/>
  <c r="AN89" i="4" s="1"/>
  <c r="AN92" i="4" s="1"/>
  <c r="AO136" i="4"/>
  <c r="AP132" i="4" s="1"/>
  <c r="AP135" i="4" s="1"/>
  <c r="AM50" i="4"/>
  <c r="AN46" i="4" s="1"/>
  <c r="AN49" i="4" s="1"/>
  <c r="AN93" i="4" l="1"/>
  <c r="AO89" i="4" s="1"/>
  <c r="AO92" i="4" s="1"/>
  <c r="AP136" i="4"/>
  <c r="AN50" i="4"/>
  <c r="AO46" i="4" s="1"/>
  <c r="AO49" i="4" s="1"/>
  <c r="AO93" i="4" l="1"/>
  <c r="AP89" i="4" s="1"/>
  <c r="AP92" i="4" s="1"/>
  <c r="AQ132" i="4"/>
  <c r="AQ135" i="4" s="1"/>
  <c r="AO50" i="4"/>
  <c r="AP46" i="4" s="1"/>
  <c r="AP49" i="4" s="1"/>
  <c r="AQ136" i="4" l="1"/>
  <c r="AR132" i="4" s="1"/>
  <c r="AR135" i="4" s="1"/>
  <c r="AP93" i="4"/>
  <c r="AQ89" i="4" s="1"/>
  <c r="AQ92" i="4" s="1"/>
  <c r="AP50" i="4"/>
  <c r="AQ46" i="4" s="1"/>
  <c r="AQ49" i="4" s="1"/>
  <c r="AR136" i="4" l="1"/>
  <c r="AS132" i="4" s="1"/>
  <c r="AS135" i="4" s="1"/>
  <c r="AQ93" i="4"/>
  <c r="AR89" i="4" s="1"/>
  <c r="AR92" i="4" s="1"/>
  <c r="AQ50" i="4"/>
  <c r="AR46" i="4" s="1"/>
  <c r="AR49" i="4" s="1"/>
  <c r="AS136" i="4" l="1"/>
  <c r="AT132" i="4" s="1"/>
  <c r="AT135" i="4" s="1"/>
  <c r="AR93" i="4"/>
  <c r="AS89" i="4" s="1"/>
  <c r="AS92" i="4" s="1"/>
  <c r="AR50" i="4"/>
  <c r="AS46" i="4" s="1"/>
  <c r="AS49" i="4" s="1"/>
  <c r="AT136" i="4" l="1"/>
  <c r="AU132" i="4" s="1"/>
  <c r="AU135" i="4" s="1"/>
  <c r="AS93" i="4"/>
  <c r="AT89" i="4" s="1"/>
  <c r="AT92" i="4" s="1"/>
  <c r="AS50" i="4"/>
  <c r="AT46" i="4" s="1"/>
  <c r="AT49" i="4" s="1"/>
  <c r="AU136" i="4" l="1"/>
  <c r="AV132" i="4" s="1"/>
  <c r="AV135" i="4" s="1"/>
  <c r="AT93" i="4"/>
  <c r="AU89" i="4" s="1"/>
  <c r="AU92" i="4" s="1"/>
  <c r="AT50" i="4"/>
  <c r="AU46" i="4" s="1"/>
  <c r="AU49" i="4" s="1"/>
  <c r="AV136" i="4" l="1"/>
  <c r="AW132" i="4" s="1"/>
  <c r="AW135" i="4" s="1"/>
  <c r="AU93" i="4"/>
  <c r="AV89" i="4" s="1"/>
  <c r="AV92" i="4" s="1"/>
  <c r="AU50" i="4"/>
  <c r="AV46" i="4" s="1"/>
  <c r="AV49" i="4" s="1"/>
  <c r="AW136" i="4" l="1"/>
  <c r="AX132" i="4" s="1"/>
  <c r="AX135" i="4" s="1"/>
  <c r="AV93" i="4"/>
  <c r="AW89" i="4" s="1"/>
  <c r="AW92" i="4" s="1"/>
  <c r="AV50" i="4"/>
  <c r="AW46" i="4" s="1"/>
  <c r="AW49" i="4" s="1"/>
  <c r="AX136" i="4" l="1"/>
  <c r="AY132" i="4" s="1"/>
  <c r="AY135" i="4" s="1"/>
  <c r="AW93" i="4"/>
  <c r="AX89" i="4" s="1"/>
  <c r="AX92" i="4" s="1"/>
  <c r="AW50" i="4"/>
  <c r="AX46" i="4" s="1"/>
  <c r="AX49" i="4" s="1"/>
  <c r="AY136" i="4" l="1"/>
  <c r="AZ132" i="4" s="1"/>
  <c r="AX93" i="4"/>
  <c r="AY89" i="4" s="1"/>
  <c r="AY92" i="4" s="1"/>
  <c r="AX50" i="4"/>
  <c r="AY46" i="4" s="1"/>
  <c r="AY49" i="4" s="1"/>
  <c r="AZ135" i="4" l="1"/>
  <c r="AZ136" i="4" s="1"/>
  <c r="BA132" i="4" s="1"/>
  <c r="AY93" i="4"/>
  <c r="AZ89" i="4" s="1"/>
  <c r="AZ92" i="4" s="1"/>
  <c r="AY50" i="4"/>
  <c r="AZ46" i="4" s="1"/>
  <c r="BA135" i="4" l="1"/>
  <c r="BA136" i="4" s="1"/>
  <c r="BB132" i="4" s="1"/>
  <c r="AZ93" i="4"/>
  <c r="BA89" i="4" s="1"/>
  <c r="BA92" i="4" s="1"/>
  <c r="AZ49" i="4"/>
  <c r="AZ50" i="4" s="1"/>
  <c r="BA46" i="4" s="1"/>
  <c r="BB135" i="4" l="1"/>
  <c r="BB136" i="4" s="1"/>
  <c r="BC132" i="4" s="1"/>
  <c r="BA93" i="4"/>
  <c r="BB89" i="4" s="1"/>
  <c r="BB92" i="4" s="1"/>
  <c r="BA49" i="4"/>
  <c r="BA50" i="4" s="1"/>
  <c r="BB46" i="4" s="1"/>
  <c r="BC135" i="4" l="1"/>
  <c r="BC136" i="4" s="1"/>
  <c r="BD132" i="4" s="1"/>
  <c r="BB93" i="4"/>
  <c r="BC89" i="4" s="1"/>
  <c r="BC92" i="4" s="1"/>
  <c r="BB49" i="4"/>
  <c r="BB50" i="4" s="1"/>
  <c r="BC46" i="4" s="1"/>
  <c r="BD135" i="4" l="1"/>
  <c r="BD136" i="4" s="1"/>
  <c r="BE132" i="4" s="1"/>
  <c r="BC93" i="4"/>
  <c r="BD89" i="4" s="1"/>
  <c r="BD92" i="4" s="1"/>
  <c r="BC49" i="4"/>
  <c r="BC50" i="4" s="1"/>
  <c r="BD46" i="4" s="1"/>
  <c r="BE135" i="4" l="1"/>
  <c r="BE136" i="4" s="1"/>
  <c r="BF132" i="4" s="1"/>
  <c r="BD93" i="4"/>
  <c r="BE89" i="4" s="1"/>
  <c r="BE92" i="4" s="1"/>
  <c r="BD49" i="4"/>
  <c r="BD50" i="4" s="1"/>
  <c r="BE46" i="4" s="1"/>
  <c r="BF135" i="4" l="1"/>
  <c r="BF136" i="4" s="1"/>
  <c r="BG132" i="4" s="1"/>
  <c r="BE93" i="4"/>
  <c r="BF89" i="4" s="1"/>
  <c r="BF92" i="4" s="1"/>
  <c r="BE49" i="4"/>
  <c r="BE50" i="4" s="1"/>
  <c r="BF46" i="4" s="1"/>
  <c r="BG135" i="4" l="1"/>
  <c r="BG136" i="4" s="1"/>
  <c r="BH132" i="4" s="1"/>
  <c r="BF93" i="4"/>
  <c r="BG89" i="4" s="1"/>
  <c r="BG92" i="4" s="1"/>
  <c r="BF49" i="4"/>
  <c r="BF50" i="4" s="1"/>
  <c r="BG46" i="4" s="1"/>
  <c r="BH135" i="4" l="1"/>
  <c r="BH136" i="4" s="1"/>
  <c r="BI132" i="4" s="1"/>
  <c r="BG93" i="4"/>
  <c r="BH89" i="4" s="1"/>
  <c r="BH92" i="4" s="1"/>
  <c r="BG49" i="4"/>
  <c r="BG50" i="4" s="1"/>
  <c r="BH46" i="4" s="1"/>
  <c r="BI135" i="4" l="1"/>
  <c r="BI136" i="4" s="1"/>
  <c r="BJ132" i="4" s="1"/>
  <c r="BH93" i="4"/>
  <c r="BI89" i="4" s="1"/>
  <c r="BI92" i="4" s="1"/>
  <c r="BH49" i="4"/>
  <c r="BH50" i="4" s="1"/>
  <c r="BI46" i="4" s="1"/>
  <c r="BJ135" i="4" l="1"/>
  <c r="BJ136" i="4" s="1"/>
  <c r="BK132" i="4" s="1"/>
  <c r="BI93" i="4"/>
  <c r="BJ89" i="4" s="1"/>
  <c r="BJ92" i="4" s="1"/>
  <c r="BI49" i="4"/>
  <c r="BI50" i="4" s="1"/>
  <c r="BJ46" i="4" s="1"/>
  <c r="BK135" i="4" l="1"/>
  <c r="BK136" i="4" s="1"/>
  <c r="BJ93" i="4"/>
  <c r="BK89" i="4" s="1"/>
  <c r="BK92" i="4" s="1"/>
  <c r="BJ49" i="4"/>
  <c r="BJ50" i="4" s="1"/>
  <c r="BK46" i="4" s="1"/>
  <c r="BK93" i="4" l="1"/>
  <c r="BK49" i="4"/>
  <c r="BK50" i="4" s="1"/>
</calcChain>
</file>

<file path=xl/sharedStrings.xml><?xml version="1.0" encoding="utf-8"?>
<sst xmlns="http://schemas.openxmlformats.org/spreadsheetml/2006/main" count="366" uniqueCount="144">
  <si>
    <t>May</t>
  </si>
  <si>
    <t>January</t>
  </si>
  <si>
    <t>Domestic</t>
  </si>
  <si>
    <t>General</t>
  </si>
  <si>
    <t>Assumptions:</t>
  </si>
  <si>
    <t xml:space="preserve">Deferral Period Start Date </t>
  </si>
  <si>
    <t xml:space="preserve">Deferral Period End Date </t>
  </si>
  <si>
    <t>Recovery Period Start Date</t>
  </si>
  <si>
    <t>Recovery Period End Date</t>
  </si>
  <si>
    <t>Deferral Account</t>
  </si>
  <si>
    <t>Opening Balance</t>
  </si>
  <si>
    <t xml:space="preserve">Closing Balance </t>
  </si>
  <si>
    <t>Interest @ Month End</t>
  </si>
  <si>
    <t>Monthly kWh</t>
  </si>
  <si>
    <t>Revenue Recovery</t>
  </si>
  <si>
    <t>Energy - kWh</t>
  </si>
  <si>
    <t>Actual</t>
  </si>
  <si>
    <t>Forecast</t>
  </si>
  <si>
    <t>Test Year</t>
  </si>
  <si>
    <t>% Change</t>
  </si>
  <si>
    <t>Small General Service</t>
  </si>
  <si>
    <t>General Service</t>
  </si>
  <si>
    <t>Street Lighting</t>
  </si>
  <si>
    <t>Yard Lighting</t>
  </si>
  <si>
    <t>TOTAL</t>
  </si>
  <si>
    <t>Deferred Revenue</t>
  </si>
  <si>
    <r>
      <t>Load Forecast</t>
    </r>
    <r>
      <rPr>
        <sz val="11"/>
        <color theme="1"/>
        <rFont val="Aptos Narrow"/>
        <family val="2"/>
        <scheme val="minor"/>
      </rPr>
      <t xml:space="preserve"> - monthly % of annual kWh</t>
    </r>
  </si>
  <si>
    <t>Rate Rider  - cents/kWh</t>
  </si>
  <si>
    <t>Small General</t>
  </si>
  <si>
    <t>Actual Billed (April Prorated)</t>
  </si>
  <si>
    <t>Invoice Count</t>
  </si>
  <si>
    <t>kWh</t>
  </si>
  <si>
    <t>First Block</t>
  </si>
  <si>
    <t>Second Block</t>
  </si>
  <si>
    <t>Total</t>
  </si>
  <si>
    <t>Prorate Factor</t>
  </si>
  <si>
    <t>Rate Increase Percentage</t>
  </si>
  <si>
    <t>At 2023 Rates</t>
  </si>
  <si>
    <t>At Final (2024) Rates</t>
  </si>
  <si>
    <t>Deferral Amounts from Prior Month</t>
  </si>
  <si>
    <t>Deferral Amount Recovered</t>
  </si>
  <si>
    <t>Energy Rate Rider</t>
  </si>
  <si>
    <t>Oct</t>
  </si>
  <si>
    <t>Nov</t>
  </si>
  <si>
    <t>Dec</t>
  </si>
  <si>
    <t>Customers</t>
  </si>
  <si>
    <t>Estimated First Block (200 kWh)</t>
  </si>
  <si>
    <t>Second Block (&gt;200 kWh)</t>
  </si>
  <si>
    <t>Demand Charge</t>
  </si>
  <si>
    <t>TOMB Recovery of Deferred Revenue</t>
  </si>
  <si>
    <t>Second Block  (&gt;100 kWh)</t>
  </si>
  <si>
    <t>Estimated First Block (100 kWh)</t>
  </si>
  <si>
    <t>Time of Day</t>
  </si>
  <si>
    <t>Net Metering</t>
  </si>
  <si>
    <t>As per compliance Filing M010832</t>
  </si>
  <si>
    <t>Domestic (incl TOD &amp; Net Metering)</t>
  </si>
  <si>
    <t>Domestic incl TOD &amp; Net Metering</t>
  </si>
  <si>
    <t>Small Gen</t>
  </si>
  <si>
    <t>TOD</t>
  </si>
  <si>
    <t>Dec Jan</t>
  </si>
  <si>
    <t>Nov Dec</t>
  </si>
  <si>
    <t>GRA</t>
  </si>
  <si>
    <t>bi-monthly</t>
  </si>
  <si>
    <t>monthly</t>
  </si>
  <si>
    <t>Sm General</t>
  </si>
  <si>
    <t>Feb</t>
  </si>
  <si>
    <t>Mar</t>
  </si>
  <si>
    <t>Apr</t>
  </si>
  <si>
    <t>Jun</t>
  </si>
  <si>
    <t>Jul</t>
  </si>
  <si>
    <t>Aug</t>
  </si>
  <si>
    <t>Sep</t>
  </si>
  <si>
    <t>Mar Apr</t>
  </si>
  <si>
    <t>Year</t>
  </si>
  <si>
    <t>Test yr</t>
  </si>
  <si>
    <t>Normalized</t>
  </si>
  <si>
    <t>Dom+TOD+NetM</t>
  </si>
  <si>
    <t>2025 Data Update</t>
  </si>
  <si>
    <t>Domestic Energy Consumption (kWh)</t>
  </si>
  <si>
    <t>Forecast for Revenue Recovery</t>
  </si>
  <si>
    <t>Apr May</t>
  </si>
  <si>
    <t>May Jun</t>
  </si>
  <si>
    <t>Jun Jul</t>
  </si>
  <si>
    <t>Jul Aug</t>
  </si>
  <si>
    <t>Aug Sep</t>
  </si>
  <si>
    <t>Sep Oct</t>
  </si>
  <si>
    <t>Oct Nov</t>
  </si>
  <si>
    <t>incl TOD&amp;NetMetering</t>
  </si>
  <si>
    <t>Invoices/ Customers</t>
  </si>
  <si>
    <t>Domestic+TOD+Net Metering</t>
  </si>
  <si>
    <t>Monthly Energy Consumption kWh</t>
  </si>
  <si>
    <t>Annual Energy Consumption</t>
  </si>
  <si>
    <t>HDD</t>
  </si>
  <si>
    <t>10 yr Avg</t>
  </si>
  <si>
    <t>Slope (M)</t>
  </si>
  <si>
    <t>Intercept (B)</t>
  </si>
  <si>
    <t xml:space="preserve">10 yrs </t>
  </si>
  <si>
    <t>Monthly kWh for revenue recovery</t>
  </si>
  <si>
    <t>Offset</t>
  </si>
  <si>
    <t>Offset #</t>
  </si>
  <si>
    <t>Summary</t>
  </si>
  <si>
    <t>Monthly Data</t>
  </si>
  <si>
    <t>Monthly % of kWh - avg of 2023/24</t>
  </si>
  <si>
    <t>2 yr Total</t>
  </si>
  <si>
    <t>Weather</t>
  </si>
  <si>
    <t>Weather Normalized kWh</t>
  </si>
  <si>
    <t>Month</t>
  </si>
  <si>
    <t>Month Consumption</t>
  </si>
  <si>
    <t>Billed</t>
  </si>
  <si>
    <t>Estimated 2026 kWh for Revenue Recovery</t>
  </si>
  <si>
    <t>Avg Bill/ customer</t>
  </si>
  <si>
    <t>Bill impact of Rider (rider x kWh)</t>
  </si>
  <si>
    <t>Billings for a month is assumed to be recevied on average by the 15 day of the following month, and interest begins to accrue at this time.  As an example, bi-monthly consumption for Mar/Apr is billed May 15 and assumed to be paid Jun 15.</t>
  </si>
  <si>
    <t>Lamp Type and Rating</t>
  </si>
  <si>
    <t>LED, 50 watt</t>
  </si>
  <si>
    <t>LED, 53 watt</t>
  </si>
  <si>
    <t>LED, 83 watt</t>
  </si>
  <si>
    <t>$/ Month</t>
  </si>
  <si>
    <t>Schedule B</t>
  </si>
  <si>
    <t>Schedule A</t>
  </si>
  <si>
    <t>Deferred</t>
  </si>
  <si>
    <t>M10832 Board Order Schedule B dated July 6, 2023</t>
  </si>
  <si>
    <t>M10832 Board Order Schedule A dated July 6, 2023</t>
  </si>
  <si>
    <t>Units</t>
  </si>
  <si>
    <t>Monthly Deferred Revenue</t>
  </si>
  <si>
    <t>Rates - M10832 Board Order dated July 6, 2023</t>
  </si>
  <si>
    <t>Town Street Lighting</t>
  </si>
  <si>
    <t>Rate Rider</t>
  </si>
  <si>
    <t>$ per kWh</t>
  </si>
  <si>
    <t>check calc</t>
  </si>
  <si>
    <t>$/month</t>
  </si>
  <si>
    <t>% increase</t>
  </si>
  <si>
    <t>Rate Rider  - $/ unit/ month</t>
  </si>
  <si>
    <t>Monthly Rate Rider</t>
  </si>
  <si>
    <t xml:space="preserve">Units x Monthly Rate Rider </t>
  </si>
  <si>
    <t>Energy kWh @ 4,000 hrs</t>
  </si>
  <si>
    <t>Units x kW x 4000/12</t>
  </si>
  <si>
    <t>Domestic + TOD + Net Metering</t>
  </si>
  <si>
    <t>Estimated Bill Impact %</t>
  </si>
  <si>
    <t>Revenue</t>
  </si>
  <si>
    <t>Deferral/ Month</t>
  </si>
  <si>
    <t>$ Recovery/ month</t>
  </si>
  <si>
    <t>Basic Charge (bi-monthly)</t>
  </si>
  <si>
    <t>Per 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</si>
</sst>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0.0000"/>
    <numFmt numFmtId="169" formatCode="_-* #,##0.000_-;\-* #,##0.000_-;_-* &quot;-&quot;??_-;_-@_-"/>
    <numFmt numFmtId="170" formatCode="0.000%"/>
    <numFmt numFmtId="171" formatCode="_(* #,##0_);_(* \(#,##0\);_(* &quot;-&quot;??_);_(@_)"/>
    <numFmt numFmtId="172" formatCode="#,##0.0"/>
    <numFmt numFmtId="173" formatCode="0.000000"/>
    <numFmt numFmtId="174" formatCode="_(&quot;$&quot;* #,##0_);_(&quot;$&quot;* \(#,##0\);_(&quot;$&quot;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0000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rgb="FF0000FF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43" fontId="0" fillId="0" borderId="0" xfId="1" applyFont="1"/>
    <xf numFmtId="9" fontId="0" fillId="0" borderId="0" xfId="3" applyFont="1"/>
    <xf numFmtId="0" fontId="2" fillId="0" borderId="0" xfId="0" applyFont="1"/>
    <xf numFmtId="15" fontId="0" fillId="0" borderId="0" xfId="0" applyNumberFormat="1"/>
    <xf numFmtId="166" fontId="0" fillId="0" borderId="0" xfId="0" applyNumberFormat="1"/>
    <xf numFmtId="167" fontId="5" fillId="0" borderId="0" xfId="1" applyNumberFormat="1" applyFont="1"/>
    <xf numFmtId="167" fontId="0" fillId="0" borderId="0" xfId="0" applyNumberFormat="1"/>
    <xf numFmtId="0" fontId="5" fillId="0" borderId="0" xfId="0" applyFont="1"/>
    <xf numFmtId="166" fontId="0" fillId="0" borderId="0" xfId="3" applyNumberFormat="1" applyFont="1"/>
    <xf numFmtId="3" fontId="0" fillId="0" borderId="0" xfId="0" applyNumberFormat="1"/>
    <xf numFmtId="0" fontId="6" fillId="0" borderId="0" xfId="0" applyFont="1"/>
    <xf numFmtId="0" fontId="2" fillId="2" borderId="0" xfId="0" applyFont="1" applyFill="1"/>
    <xf numFmtId="0" fontId="0" fillId="2" borderId="0" xfId="0" applyFill="1"/>
    <xf numFmtId="166" fontId="0" fillId="2" borderId="0" xfId="3" applyNumberFormat="1" applyFont="1" applyFill="1"/>
    <xf numFmtId="3" fontId="0" fillId="2" borderId="0" xfId="0" applyNumberFormat="1" applyFill="1"/>
    <xf numFmtId="0" fontId="7" fillId="0" borderId="0" xfId="0" applyFont="1"/>
    <xf numFmtId="0" fontId="0" fillId="3" borderId="0" xfId="0" applyFill="1"/>
    <xf numFmtId="15" fontId="0" fillId="3" borderId="0" xfId="0" applyNumberFormat="1" applyFill="1"/>
    <xf numFmtId="0" fontId="0" fillId="4" borderId="0" xfId="0" applyFill="1"/>
    <xf numFmtId="15" fontId="0" fillId="4" borderId="0" xfId="0" applyNumberFormat="1" applyFill="1"/>
    <xf numFmtId="0" fontId="0" fillId="0" borderId="2" xfId="0" applyBorder="1"/>
    <xf numFmtId="43" fontId="0" fillId="0" borderId="2" xfId="0" applyNumberFormat="1" applyBorder="1"/>
    <xf numFmtId="167" fontId="0" fillId="0" borderId="3" xfId="0" applyNumberFormat="1" applyBorder="1"/>
    <xf numFmtId="38" fontId="0" fillId="0" borderId="0" xfId="2" applyNumberFormat="1" applyFont="1" applyBorder="1" applyAlignment="1">
      <alignment horizontal="right"/>
    </xf>
    <xf numFmtId="38" fontId="0" fillId="0" borderId="3" xfId="2" applyNumberFormat="1" applyFont="1" applyBorder="1" applyAlignment="1">
      <alignment horizontal="right"/>
    </xf>
    <xf numFmtId="166" fontId="5" fillId="0" borderId="0" xfId="3" applyNumberFormat="1" applyFont="1"/>
    <xf numFmtId="0" fontId="0" fillId="0" borderId="6" xfId="0" applyBorder="1"/>
    <xf numFmtId="0" fontId="4" fillId="0" borderId="0" xfId="0" applyFont="1"/>
    <xf numFmtId="17" fontId="2" fillId="2" borderId="0" xfId="0" applyNumberFormat="1" applyFont="1" applyFill="1"/>
    <xf numFmtId="167" fontId="0" fillId="0" borderId="0" xfId="1" applyNumberFormat="1" applyFont="1"/>
    <xf numFmtId="165" fontId="0" fillId="0" borderId="0" xfId="0" applyNumberFormat="1"/>
    <xf numFmtId="168" fontId="0" fillId="0" borderId="0" xfId="0" applyNumberFormat="1"/>
    <xf numFmtId="167" fontId="2" fillId="0" borderId="0" xfId="0" applyNumberFormat="1" applyFont="1"/>
    <xf numFmtId="38" fontId="0" fillId="0" borderId="0" xfId="0" applyNumberFormat="1"/>
    <xf numFmtId="169" fontId="0" fillId="0" borderId="0" xfId="0" applyNumberFormat="1"/>
    <xf numFmtId="17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right"/>
    </xf>
    <xf numFmtId="167" fontId="2" fillId="0" borderId="3" xfId="0" applyNumberFormat="1" applyFont="1" applyBorder="1"/>
    <xf numFmtId="38" fontId="5" fillId="0" borderId="0" xfId="2" applyNumberFormat="1" applyFont="1" applyBorder="1" applyAlignment="1">
      <alignment horizontal="right"/>
    </xf>
    <xf numFmtId="170" fontId="0" fillId="0" borderId="0" xfId="3" applyNumberFormat="1" applyFont="1"/>
    <xf numFmtId="0" fontId="6" fillId="0" borderId="0" xfId="0" applyFont="1" applyAlignment="1">
      <alignment horizontal="center"/>
    </xf>
    <xf numFmtId="171" fontId="0" fillId="0" borderId="0" xfId="0" applyNumberFormat="1"/>
    <xf numFmtId="17" fontId="0" fillId="0" borderId="0" xfId="0" applyNumberFormat="1"/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3" fontId="10" fillId="0" borderId="0" xfId="0" applyNumberFormat="1" applyFont="1"/>
    <xf numFmtId="3" fontId="0" fillId="5" borderId="0" xfId="0" applyNumberFormat="1" applyFill="1"/>
    <xf numFmtId="17" fontId="0" fillId="5" borderId="0" xfId="0" applyNumberFormat="1" applyFill="1"/>
    <xf numFmtId="0" fontId="2" fillId="0" borderId="10" xfId="0" applyFont="1" applyBorder="1"/>
    <xf numFmtId="0" fontId="0" fillId="0" borderId="12" xfId="0" applyBorder="1"/>
    <xf numFmtId="0" fontId="0" fillId="0" borderId="11" xfId="0" applyBorder="1"/>
    <xf numFmtId="0" fontId="2" fillId="0" borderId="12" xfId="0" applyFont="1" applyBorder="1"/>
    <xf numFmtId="167" fontId="2" fillId="0" borderId="10" xfId="0" applyNumberFormat="1" applyFont="1" applyBorder="1"/>
    <xf numFmtId="167" fontId="0" fillId="0" borderId="12" xfId="0" applyNumberFormat="1" applyBorder="1"/>
    <xf numFmtId="0" fontId="0" fillId="0" borderId="13" xfId="0" applyBorder="1"/>
    <xf numFmtId="0" fontId="0" fillId="0" borderId="3" xfId="0" applyBorder="1"/>
    <xf numFmtId="0" fontId="0" fillId="0" borderId="15" xfId="0" applyBorder="1"/>
    <xf numFmtId="172" fontId="0" fillId="0" borderId="0" xfId="0" applyNumberFormat="1"/>
    <xf numFmtId="0" fontId="11" fillId="0" borderId="3" xfId="0" applyFont="1" applyBorder="1" applyAlignment="1">
      <alignment horizontal="center"/>
    </xf>
    <xf numFmtId="172" fontId="0" fillId="0" borderId="14" xfId="0" applyNumberFormat="1" applyBorder="1"/>
    <xf numFmtId="172" fontId="0" fillId="0" borderId="2" xfId="0" applyNumberFormat="1" applyBorder="1"/>
    <xf numFmtId="0" fontId="6" fillId="2" borderId="0" xfId="0" applyFont="1" applyFill="1"/>
    <xf numFmtId="0" fontId="2" fillId="2" borderId="10" xfId="0" applyFont="1" applyFill="1" applyBorder="1"/>
    <xf numFmtId="0" fontId="2" fillId="2" borderId="12" xfId="0" applyFont="1" applyFill="1" applyBorder="1"/>
    <xf numFmtId="0" fontId="0" fillId="2" borderId="11" xfId="0" applyFill="1" applyBorder="1"/>
    <xf numFmtId="0" fontId="0" fillId="2" borderId="12" xfId="0" applyFill="1" applyBorder="1"/>
    <xf numFmtId="167" fontId="0" fillId="2" borderId="0" xfId="1" applyNumberFormat="1" applyFont="1" applyFill="1"/>
    <xf numFmtId="3" fontId="0" fillId="0" borderId="2" xfId="0" applyNumberFormat="1" applyBorder="1"/>
    <xf numFmtId="166" fontId="0" fillId="0" borderId="0" xfId="3" applyNumberFormat="1" applyFont="1" applyFill="1" applyAlignment="1">
      <alignment horizontal="center"/>
    </xf>
    <xf numFmtId="3" fontId="8" fillId="0" borderId="3" xfId="0" applyNumberFormat="1" applyFont="1" applyBorder="1" applyAlignment="1">
      <alignment horizontal="right"/>
    </xf>
    <xf numFmtId="166" fontId="0" fillId="0" borderId="3" xfId="3" applyNumberFormat="1" applyFont="1" applyFill="1" applyBorder="1" applyAlignment="1">
      <alignment horizontal="center"/>
    </xf>
    <xf numFmtId="0" fontId="2" fillId="0" borderId="2" xfId="0" applyFont="1" applyBorder="1"/>
    <xf numFmtId="0" fontId="12" fillId="0" borderId="0" xfId="0" applyFont="1" applyAlignment="1">
      <alignment horizontal="center"/>
    </xf>
    <xf numFmtId="3" fontId="0" fillId="0" borderId="1" xfId="0" applyNumberFormat="1" applyBorder="1"/>
    <xf numFmtId="0" fontId="0" fillId="0" borderId="4" xfId="0" applyBorder="1"/>
    <xf numFmtId="0" fontId="2" fillId="0" borderId="16" xfId="0" applyFont="1" applyBorder="1"/>
    <xf numFmtId="0" fontId="0" fillId="0" borderId="17" xfId="0" applyBorder="1"/>
    <xf numFmtId="0" fontId="0" fillId="0" borderId="7" xfId="0" applyBorder="1"/>
    <xf numFmtId="0" fontId="0" fillId="0" borderId="9" xfId="0" applyBorder="1"/>
    <xf numFmtId="0" fontId="0" fillId="0" borderId="18" xfId="0" applyBorder="1"/>
    <xf numFmtId="4" fontId="0" fillId="0" borderId="0" xfId="0" applyNumberFormat="1"/>
    <xf numFmtId="2" fontId="5" fillId="0" borderId="0" xfId="0" applyNumberFormat="1" applyFont="1"/>
    <xf numFmtId="2" fontId="5" fillId="0" borderId="19" xfId="0" applyNumberFormat="1" applyFont="1" applyBorder="1"/>
    <xf numFmtId="0" fontId="0" fillId="0" borderId="20" xfId="0" applyBorder="1"/>
    <xf numFmtId="17" fontId="0" fillId="0" borderId="0" xfId="0" applyNumberFormat="1" applyAlignment="1">
      <alignment horizontal="center"/>
    </xf>
    <xf numFmtId="0" fontId="13" fillId="0" borderId="0" xfId="0" applyFont="1"/>
    <xf numFmtId="0" fontId="4" fillId="2" borderId="0" xfId="0" applyFont="1" applyFill="1"/>
    <xf numFmtId="16" fontId="2" fillId="0" borderId="0" xfId="0" applyNumberFormat="1" applyFont="1"/>
    <xf numFmtId="17" fontId="2" fillId="0" borderId="0" xfId="0" applyNumberFormat="1" applyFont="1"/>
    <xf numFmtId="17" fontId="0" fillId="6" borderId="0" xfId="0" applyNumberFormat="1" applyFill="1" applyAlignment="1">
      <alignment horizontal="center"/>
    </xf>
    <xf numFmtId="38" fontId="0" fillId="0" borderId="21" xfId="2" applyNumberFormat="1" applyFont="1" applyBorder="1" applyAlignment="1">
      <alignment horizontal="right"/>
    </xf>
    <xf numFmtId="173" fontId="0" fillId="0" borderId="0" xfId="0" applyNumberFormat="1"/>
    <xf numFmtId="44" fontId="5" fillId="0" borderId="0" xfId="2" applyFont="1"/>
    <xf numFmtId="0" fontId="0" fillId="0" borderId="0" xfId="0" applyAlignment="1">
      <alignment horizontal="center"/>
    </xf>
    <xf numFmtId="164" fontId="0" fillId="0" borderId="0" xfId="0" applyNumberFormat="1"/>
    <xf numFmtId="174" fontId="0" fillId="0" borderId="0" xfId="0" applyNumberFormat="1"/>
    <xf numFmtId="174" fontId="0" fillId="0" borderId="3" xfId="0" applyNumberFormat="1" applyBorder="1"/>
    <xf numFmtId="15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167" fontId="0" fillId="0" borderId="3" xfId="1" applyNumberFormat="1" applyFont="1" applyBorder="1"/>
    <xf numFmtId="44" fontId="0" fillId="0" borderId="3" xfId="2" applyFont="1" applyBorder="1"/>
    <xf numFmtId="44" fontId="0" fillId="0" borderId="0" xfId="2" applyFont="1"/>
    <xf numFmtId="164" fontId="0" fillId="0" borderId="3" xfId="0" applyNumberFormat="1" applyBorder="1"/>
    <xf numFmtId="0" fontId="10" fillId="0" borderId="0" xfId="0" applyFont="1" applyAlignment="1">
      <alignment horizontal="center"/>
    </xf>
    <xf numFmtId="0" fontId="10" fillId="0" borderId="0" xfId="0" applyFont="1"/>
    <xf numFmtId="166" fontId="5" fillId="0" borderId="2" xfId="3" applyNumberFormat="1" applyFont="1" applyFill="1" applyBorder="1"/>
    <xf numFmtId="0" fontId="0" fillId="0" borderId="0" xfId="0" applyAlignment="1">
      <alignment horizontal="left"/>
    </xf>
    <xf numFmtId="0" fontId="0" fillId="6" borderId="5" xfId="0" applyFill="1" applyBorder="1"/>
    <xf numFmtId="0" fontId="0" fillId="6" borderId="6" xfId="0" applyFill="1" applyBorder="1"/>
    <xf numFmtId="0" fontId="2" fillId="6" borderId="8" xfId="0" applyFont="1" applyFill="1" applyBorder="1"/>
    <xf numFmtId="168" fontId="9" fillId="6" borderId="9" xfId="2" applyNumberFormat="1" applyFont="1" applyFill="1" applyBorder="1"/>
    <xf numFmtId="0" fontId="2" fillId="6" borderId="4" xfId="0" applyFont="1" applyFill="1" applyBorder="1"/>
    <xf numFmtId="0" fontId="2" fillId="6" borderId="7" xfId="0" applyFont="1" applyFill="1" applyBorder="1"/>
    <xf numFmtId="0" fontId="0" fillId="7" borderId="0" xfId="0" applyFill="1"/>
    <xf numFmtId="44" fontId="0" fillId="7" borderId="0" xfId="2" applyFont="1" applyFill="1" applyBorder="1"/>
    <xf numFmtId="166" fontId="0" fillId="7" borderId="0" xfId="3" applyNumberFormat="1" applyFont="1" applyFill="1" applyBorder="1"/>
    <xf numFmtId="0" fontId="2" fillId="6" borderId="22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165" fontId="2" fillId="6" borderId="23" xfId="0" applyNumberFormat="1" applyFont="1" applyFill="1" applyBorder="1"/>
    <xf numFmtId="44" fontId="2" fillId="6" borderId="23" xfId="2" applyFont="1" applyFill="1" applyBorder="1"/>
    <xf numFmtId="173" fontId="2" fillId="6" borderId="24" xfId="0" applyNumberFormat="1" applyFont="1" applyFill="1" applyBorder="1" applyAlignment="1">
      <alignment horizontal="center"/>
    </xf>
    <xf numFmtId="0" fontId="2" fillId="6" borderId="24" xfId="0" applyFont="1" applyFill="1" applyBorder="1"/>
    <xf numFmtId="44" fontId="9" fillId="6" borderId="9" xfId="2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B5FA-55A9-4612-8CCF-060607BFC912}">
  <dimension ref="A1:BK165"/>
  <sheetViews>
    <sheetView tabSelected="1" zoomScale="90" zoomScaleNormal="90" workbookViewId="0">
      <pane xSplit="4" ySplit="8" topLeftCell="E139" activePane="bottomRight" state="frozen"/>
      <selection pane="topRight" activeCell="E1" sqref="E1"/>
      <selection pane="bottomLeft" activeCell="A10" sqref="A10"/>
      <selection pane="bottomRight" activeCell="O152" sqref="O152"/>
    </sheetView>
  </sheetViews>
  <sheetFormatPr defaultRowHeight="15" x14ac:dyDescent="0.25"/>
  <cols>
    <col min="1" max="1" width="2.42578125" customWidth="1"/>
    <col min="2" max="2" width="2.5703125" customWidth="1"/>
    <col min="3" max="3" width="29" customWidth="1"/>
    <col min="4" max="4" width="8.85546875" customWidth="1"/>
    <col min="5" max="5" width="12.140625" customWidth="1"/>
    <col min="6" max="13" width="11.140625" customWidth="1"/>
    <col min="14" max="14" width="10.28515625" customWidth="1"/>
    <col min="15" max="17" width="8.85546875" customWidth="1"/>
    <col min="18" max="18" width="9.42578125" customWidth="1"/>
    <col min="19" max="20" width="8.85546875" customWidth="1"/>
    <col min="21" max="25" width="7.85546875" customWidth="1"/>
    <col min="26" max="37" width="8" customWidth="1"/>
    <col min="38" max="38" width="10.85546875" customWidth="1"/>
    <col min="39" max="39" width="10.7109375" customWidth="1"/>
    <col min="40" max="48" width="9.140625" customWidth="1"/>
    <col min="49" max="49" width="10" customWidth="1"/>
    <col min="50" max="50" width="10.85546875" customWidth="1"/>
    <col min="51" max="51" width="9.140625" customWidth="1"/>
    <col min="52" max="52" width="10.5703125" customWidth="1"/>
    <col min="60" max="60" width="10.28515625" customWidth="1"/>
    <col min="62" max="62" width="10.5703125" customWidth="1"/>
  </cols>
  <sheetData>
    <row r="1" spans="1:63" ht="18.75" x14ac:dyDescent="0.3">
      <c r="A1" s="16" t="s">
        <v>49</v>
      </c>
    </row>
    <row r="2" spans="1:63" x14ac:dyDescent="0.25">
      <c r="E2" s="4"/>
      <c r="K2" s="4"/>
    </row>
    <row r="3" spans="1:63" x14ac:dyDescent="0.25">
      <c r="A3" s="3" t="s">
        <v>4</v>
      </c>
      <c r="E3" s="4"/>
      <c r="K3" s="4"/>
    </row>
    <row r="4" spans="1:63" x14ac:dyDescent="0.25">
      <c r="B4" s="17" t="s">
        <v>5</v>
      </c>
      <c r="C4" s="17"/>
      <c r="D4" s="17"/>
      <c r="E4" s="18">
        <v>45044</v>
      </c>
      <c r="F4" s="4"/>
      <c r="H4" s="19" t="s">
        <v>7</v>
      </c>
      <c r="I4" s="19"/>
      <c r="J4" s="20">
        <v>46023</v>
      </c>
    </row>
    <row r="5" spans="1:63" x14ac:dyDescent="0.25">
      <c r="B5" s="17" t="s">
        <v>6</v>
      </c>
      <c r="C5" s="17"/>
      <c r="D5" s="17"/>
      <c r="E5" s="18">
        <v>45291</v>
      </c>
      <c r="H5" s="19" t="s">
        <v>8</v>
      </c>
      <c r="I5" s="19"/>
      <c r="J5" s="20">
        <v>46752</v>
      </c>
    </row>
    <row r="6" spans="1:63" x14ac:dyDescent="0.25">
      <c r="E6" s="4"/>
      <c r="K6" s="4"/>
    </row>
    <row r="7" spans="1:63" x14ac:dyDescent="0.25">
      <c r="B7" t="s">
        <v>112</v>
      </c>
    </row>
    <row r="8" spans="1:63" x14ac:dyDescent="0.25">
      <c r="D8" t="s">
        <v>108</v>
      </c>
      <c r="E8" s="85">
        <v>45047</v>
      </c>
      <c r="F8" s="85">
        <v>45078</v>
      </c>
      <c r="G8" s="85">
        <v>45108</v>
      </c>
      <c r="H8" s="85">
        <v>45139</v>
      </c>
      <c r="I8" s="85">
        <v>45170</v>
      </c>
      <c r="J8" s="85">
        <v>45200</v>
      </c>
      <c r="K8" s="85">
        <v>45231</v>
      </c>
      <c r="L8" s="85">
        <v>45261</v>
      </c>
      <c r="M8" s="85">
        <v>45292</v>
      </c>
      <c r="N8" s="85">
        <v>45323</v>
      </c>
      <c r="O8" s="85">
        <v>45352</v>
      </c>
      <c r="P8" s="85">
        <v>45383</v>
      </c>
      <c r="Q8" s="85">
        <v>45413</v>
      </c>
      <c r="R8" s="85">
        <v>45444</v>
      </c>
      <c r="S8" s="85">
        <v>45474</v>
      </c>
      <c r="T8" s="85">
        <v>45505</v>
      </c>
      <c r="U8" s="85">
        <v>45536</v>
      </c>
      <c r="V8" s="85">
        <v>45566</v>
      </c>
      <c r="W8" s="85">
        <v>45597</v>
      </c>
      <c r="X8" s="85">
        <v>45627</v>
      </c>
      <c r="Y8" s="85">
        <v>45658</v>
      </c>
      <c r="Z8" s="85">
        <v>45689</v>
      </c>
      <c r="AA8" s="85">
        <v>45717</v>
      </c>
      <c r="AB8" s="85">
        <v>45748</v>
      </c>
      <c r="AC8" s="85">
        <v>45778</v>
      </c>
      <c r="AD8" s="85">
        <v>45809</v>
      </c>
      <c r="AE8" s="85">
        <v>45839</v>
      </c>
      <c r="AF8" s="85">
        <v>45870</v>
      </c>
      <c r="AG8" s="85">
        <v>45901</v>
      </c>
      <c r="AH8" s="85">
        <v>45931</v>
      </c>
      <c r="AI8" s="85">
        <v>45962</v>
      </c>
      <c r="AJ8" s="85">
        <v>45992</v>
      </c>
      <c r="AK8" s="85">
        <v>46023</v>
      </c>
      <c r="AL8" s="85">
        <v>46054</v>
      </c>
      <c r="AM8" s="85">
        <v>46082</v>
      </c>
      <c r="AN8" s="85">
        <v>46113</v>
      </c>
      <c r="AO8" s="85">
        <v>46143</v>
      </c>
      <c r="AP8" s="85">
        <v>46174</v>
      </c>
      <c r="AQ8" s="85">
        <v>46204</v>
      </c>
      <c r="AR8" s="85">
        <v>46235</v>
      </c>
      <c r="AS8" s="85">
        <v>46266</v>
      </c>
      <c r="AT8" s="85">
        <v>46296</v>
      </c>
      <c r="AU8" s="85">
        <v>46327</v>
      </c>
      <c r="AV8" s="85">
        <v>46357</v>
      </c>
      <c r="AW8" s="85">
        <v>46388</v>
      </c>
      <c r="AX8" s="90">
        <v>46419</v>
      </c>
      <c r="AY8" s="90">
        <v>46447</v>
      </c>
      <c r="AZ8" s="90">
        <v>46478</v>
      </c>
      <c r="BA8" s="90">
        <v>46508</v>
      </c>
      <c r="BB8" s="90">
        <v>46539</v>
      </c>
      <c r="BC8" s="90">
        <v>46569</v>
      </c>
      <c r="BD8" s="90">
        <v>46600</v>
      </c>
      <c r="BE8" s="90">
        <v>46631</v>
      </c>
      <c r="BF8" s="90">
        <v>46661</v>
      </c>
      <c r="BG8" s="90">
        <v>46692</v>
      </c>
      <c r="BH8" s="90">
        <v>46722</v>
      </c>
      <c r="BI8" s="90">
        <v>46753</v>
      </c>
      <c r="BJ8" s="85"/>
      <c r="BK8" s="85"/>
    </row>
    <row r="9" spans="1:63" s="12" customFormat="1" x14ac:dyDescent="0.25">
      <c r="A9" s="12" t="s">
        <v>55</v>
      </c>
      <c r="D9" s="37"/>
      <c r="E9" s="36" t="s">
        <v>72</v>
      </c>
      <c r="F9" s="36" t="s">
        <v>80</v>
      </c>
      <c r="G9" s="36" t="s">
        <v>81</v>
      </c>
      <c r="H9" s="36" t="s">
        <v>82</v>
      </c>
      <c r="I9" s="36" t="s">
        <v>83</v>
      </c>
      <c r="J9" s="36" t="s">
        <v>84</v>
      </c>
      <c r="K9" s="36" t="s">
        <v>85</v>
      </c>
      <c r="L9" s="36" t="s">
        <v>86</v>
      </c>
      <c r="M9" s="36" t="s">
        <v>60</v>
      </c>
      <c r="N9" s="36" t="s">
        <v>59</v>
      </c>
      <c r="O9" s="29"/>
      <c r="P9" s="29"/>
      <c r="Q9" s="29"/>
      <c r="R9" s="36"/>
      <c r="S9" s="36"/>
      <c r="T9" s="36"/>
      <c r="U9" s="36"/>
      <c r="V9" s="36"/>
      <c r="W9" s="36"/>
      <c r="X9" s="36"/>
      <c r="Y9" s="36"/>
      <c r="Z9" s="36"/>
      <c r="AA9" s="29"/>
      <c r="AB9" s="29"/>
      <c r="AC9" s="29"/>
      <c r="AD9" s="36"/>
      <c r="AE9" s="36"/>
      <c r="AF9" s="36"/>
      <c r="AG9" s="36"/>
      <c r="AH9" s="36"/>
      <c r="AI9" s="36"/>
      <c r="AJ9" s="36"/>
      <c r="AK9" s="36"/>
      <c r="AL9" s="36"/>
      <c r="AM9" s="29"/>
      <c r="AN9" s="29"/>
      <c r="AO9" s="29"/>
      <c r="AP9" s="36"/>
      <c r="AQ9" s="36"/>
      <c r="AR9" s="36"/>
      <c r="AS9" s="36"/>
      <c r="AT9" s="36"/>
      <c r="AU9" s="36"/>
      <c r="AV9" s="36"/>
      <c r="AW9" s="36"/>
      <c r="AX9" s="36"/>
      <c r="AY9" s="29"/>
      <c r="AZ9" s="29"/>
      <c r="BA9" s="29"/>
      <c r="BB9" s="36"/>
      <c r="BC9" s="36"/>
      <c r="BD9" s="36"/>
      <c r="BE9" s="36"/>
      <c r="BF9" s="36"/>
      <c r="BG9" s="36"/>
      <c r="BH9" s="36"/>
      <c r="BI9" s="36"/>
      <c r="BJ9" s="36"/>
      <c r="BK9" s="29"/>
    </row>
    <row r="10" spans="1:63" x14ac:dyDescent="0.25">
      <c r="B10" s="3" t="s">
        <v>26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>
        <f ca="1">OFFSET(Data!$R$87,MONTH(AK$8),,1,1)</f>
        <v>0.13799291411635045</v>
      </c>
      <c r="AM10" s="5">
        <f ca="1">OFFSET(Data!$R$87,MONTH(AL$8),,1,1)</f>
        <v>0.10259030306883453</v>
      </c>
      <c r="AN10" s="5">
        <f ca="1">OFFSET(Data!$R$87,MONTH(AM$8),,1,1)</f>
        <v>9.9979452182738585E-2</v>
      </c>
      <c r="AO10" s="5">
        <f ca="1">OFFSET(Data!$R$87,MONTH(AN$8),,1,1)</f>
        <v>7.1042423213593414E-2</v>
      </c>
      <c r="AP10" s="5">
        <f ca="1">OFFSET(Data!$R$87,MONTH(AO$8),,1,1)</f>
        <v>6.0305516875919042E-2</v>
      </c>
      <c r="AQ10" s="5">
        <f ca="1">OFFSET(Data!$R$87,MONTH(AP$8),,1,1)</f>
        <v>5.2444190719137557E-2</v>
      </c>
      <c r="AR10" s="5">
        <f ca="1">OFFSET(Data!$R$87,MONTH(AQ$8),,1,1)</f>
        <v>6.3076293357287219E-2</v>
      </c>
      <c r="AS10" s="5">
        <f ca="1">OFFSET(Data!$R$87,MONTH(AR$8),,1,1)</f>
        <v>4.6477327433564516E-2</v>
      </c>
      <c r="AT10" s="5">
        <f ca="1">OFFSET(Data!$R$87,MONTH(AS$8),,1,1)</f>
        <v>6.0567165636708692E-2</v>
      </c>
      <c r="AU10" s="5">
        <f ca="1">OFFSET(Data!$R$87,MONTH(AT$8),,1,1)</f>
        <v>7.1724663181293682E-2</v>
      </c>
      <c r="AV10" s="5">
        <f ca="1">OFFSET(Data!$R$87,MONTH(AU$8),,1,1)</f>
        <v>0.1130618902222212</v>
      </c>
      <c r="AW10" s="5">
        <f ca="1">OFFSET(Data!$R$87,MONTH(AV$8),,1,1)</f>
        <v>0.12073785999235109</v>
      </c>
      <c r="AX10" s="5">
        <f ca="1">AL10</f>
        <v>0.13799291411635045</v>
      </c>
      <c r="AY10" s="5">
        <f t="shared" ref="AY10:BH10" ca="1" si="0">AM10</f>
        <v>0.10259030306883453</v>
      </c>
      <c r="AZ10" s="5">
        <f t="shared" ca="1" si="0"/>
        <v>9.9979452182738585E-2</v>
      </c>
      <c r="BA10" s="5">
        <f t="shared" ca="1" si="0"/>
        <v>7.1042423213593414E-2</v>
      </c>
      <c r="BB10" s="5">
        <f t="shared" ca="1" si="0"/>
        <v>6.0305516875919042E-2</v>
      </c>
      <c r="BC10" s="5">
        <f t="shared" ca="1" si="0"/>
        <v>5.2444190719137557E-2</v>
      </c>
      <c r="BD10" s="5">
        <f t="shared" ca="1" si="0"/>
        <v>6.3076293357287219E-2</v>
      </c>
      <c r="BE10" s="5">
        <f t="shared" ca="1" si="0"/>
        <v>4.6477327433564516E-2</v>
      </c>
      <c r="BF10" s="5">
        <f t="shared" ca="1" si="0"/>
        <v>6.0567165636708692E-2</v>
      </c>
      <c r="BG10" s="5">
        <f t="shared" ca="1" si="0"/>
        <v>7.1724663181293682E-2</v>
      </c>
      <c r="BH10" s="5">
        <f t="shared" ca="1" si="0"/>
        <v>0.1130618902222212</v>
      </c>
      <c r="BI10" s="5">
        <f t="shared" ref="BI10" ca="1" si="1">AW10</f>
        <v>0.12073785999235109</v>
      </c>
      <c r="BJ10" s="5"/>
    </row>
    <row r="11" spans="1:63" x14ac:dyDescent="0.25">
      <c r="C11" t="s">
        <v>97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>
        <f ca="1">'Load Analysis kWh'!$M$10*AL10</f>
        <v>1097010.1065828684</v>
      </c>
      <c r="AM11" s="7">
        <f ca="1">'Load Analysis kWh'!$M$10*AM10</f>
        <v>815567.95886649098</v>
      </c>
      <c r="AN11" s="7">
        <f ca="1">'Load Analysis kWh'!$M$10*AN10</f>
        <v>794812.32929544535</v>
      </c>
      <c r="AO11" s="7">
        <f ca="1">'Load Analysis kWh'!$M$10*AO10</f>
        <v>564769.98663669138</v>
      </c>
      <c r="AP11" s="7">
        <f ca="1">'Load Analysis kWh'!$M$10*AP10</f>
        <v>479414.1925273558</v>
      </c>
      <c r="AQ11" s="7">
        <f ca="1">'Load Analysis kWh'!$M$10*AQ10</f>
        <v>416918.56149906869</v>
      </c>
      <c r="AR11" s="7">
        <f ca="1">'Load Analysis kWh'!$M$10*AR10</f>
        <v>501441.1916860239</v>
      </c>
      <c r="AS11" s="7">
        <f ca="1">'Load Analysis kWh'!$M$10*AS10</f>
        <v>369483.44955301046</v>
      </c>
      <c r="AT11" s="7">
        <f ca="1">'Load Analysis kWh'!$M$10*AT10</f>
        <v>481494.23654120363</v>
      </c>
      <c r="AU11" s="7">
        <f ca="1">'Load Analysis kWh'!$M$10*AU10</f>
        <v>570193.62845536415</v>
      </c>
      <c r="AV11" s="7">
        <f ca="1">'Load Analysis kWh'!$M$10*AV10</f>
        <v>898814.52998783661</v>
      </c>
      <c r="AW11" s="7">
        <f ca="1">'Load Analysis kWh'!$M$10*AW10</f>
        <v>959836.62282194488</v>
      </c>
      <c r="AX11" s="7">
        <f ca="1">AX10*'Load Analysis kWh'!$M$11</f>
        <v>1115262.6901333947</v>
      </c>
      <c r="AY11" s="7">
        <f ca="1">AY10*'Load Analysis kWh'!$M$11</f>
        <v>829137.77214443113</v>
      </c>
      <c r="AZ11" s="7">
        <f ca="1">AZ10*'Load Analysis kWh'!$M$11</f>
        <v>808036.80039229174</v>
      </c>
      <c r="BA11" s="7">
        <f ca="1">BA10*'Load Analysis kWh'!$M$11</f>
        <v>574166.90222211508</v>
      </c>
      <c r="BB11" s="7">
        <f ca="1">BB10*'Load Analysis kWh'!$M$11</f>
        <v>487390.91721922869</v>
      </c>
      <c r="BC11" s="7">
        <f ca="1">BC10*'Load Analysis kWh'!$M$11</f>
        <v>423855.45372263377</v>
      </c>
      <c r="BD11" s="7">
        <f ca="1">BD10*'Load Analysis kWh'!$M$11</f>
        <v>509784.41221972939</v>
      </c>
      <c r="BE11" s="7">
        <f ca="1">BE10*'Load Analysis kWh'!$M$11</f>
        <v>375631.09349269146</v>
      </c>
      <c r="BF11" s="7">
        <f ca="1">BF10*'Load Analysis kWh'!$M$11</f>
        <v>489505.57000917045</v>
      </c>
      <c r="BG11" s="7">
        <f ca="1">BG10*'Load Analysis kWh'!$M$11</f>
        <v>579680.78521071817</v>
      </c>
      <c r="BH11" s="7">
        <f ca="1">BH10*'Load Analysis kWh'!$M$11</f>
        <v>913769.43988938059</v>
      </c>
      <c r="BI11" s="7">
        <f ca="1">BI10*'Load Analysis kWh'!$M$11</f>
        <v>975806.84775221918</v>
      </c>
      <c r="BJ11" s="7"/>
    </row>
    <row r="12" spans="1:63" x14ac:dyDescent="0.25">
      <c r="D12" s="73" t="s">
        <v>98</v>
      </c>
      <c r="E12" s="73">
        <v>0</v>
      </c>
      <c r="F12" s="73">
        <f>E12+1</f>
        <v>1</v>
      </c>
      <c r="G12" s="73">
        <f t="shared" ref="G12:N12" si="2">F12+1</f>
        <v>2</v>
      </c>
      <c r="H12" s="73">
        <f t="shared" si="2"/>
        <v>3</v>
      </c>
      <c r="I12" s="73">
        <f t="shared" si="2"/>
        <v>4</v>
      </c>
      <c r="J12" s="73">
        <f t="shared" si="2"/>
        <v>5</v>
      </c>
      <c r="K12" s="73">
        <f t="shared" si="2"/>
        <v>6</v>
      </c>
      <c r="L12" s="73">
        <f t="shared" si="2"/>
        <v>7</v>
      </c>
      <c r="M12" s="73">
        <f t="shared" si="2"/>
        <v>8</v>
      </c>
      <c r="N12" s="73">
        <f t="shared" si="2"/>
        <v>9</v>
      </c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1:63" x14ac:dyDescent="0.25">
      <c r="C13" t="s">
        <v>30</v>
      </c>
      <c r="E13" s="7">
        <f ca="1">OFFSET(Data!$C$62,E$12,,1,1)</f>
        <v>362</v>
      </c>
      <c r="F13" s="7">
        <f ca="1">OFFSET(Data!$C$62,F$12,,1,1)</f>
        <v>345</v>
      </c>
      <c r="G13" s="7">
        <f ca="1">OFFSET(Data!$C$62,G$12,,1,1)</f>
        <v>366</v>
      </c>
      <c r="H13" s="7">
        <f ca="1">OFFSET(Data!$C$62,H$12,,1,1)</f>
        <v>345</v>
      </c>
      <c r="I13" s="7">
        <f ca="1">OFFSET(Data!$C$62,I$12,,1,1)</f>
        <v>367</v>
      </c>
      <c r="J13" s="7">
        <f ca="1">OFFSET(Data!$C$62,J$12,,1,1)</f>
        <v>352</v>
      </c>
      <c r="K13" s="7">
        <f ca="1">OFFSET(Data!$C$62,K$12,,1,1)</f>
        <v>367</v>
      </c>
      <c r="L13" s="7">
        <f ca="1">OFFSET(Data!$C$62,L$12,,1,1)</f>
        <v>349</v>
      </c>
      <c r="M13" s="7">
        <f ca="1">OFFSET(Data!$C$62,M$12,,1,1)</f>
        <v>367</v>
      </c>
      <c r="N13" s="7">
        <f ca="1">OFFSET(Data!$C$62,N$12,,1,1)</f>
        <v>349</v>
      </c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1:63" x14ac:dyDescent="0.25">
      <c r="C14" t="s">
        <v>29</v>
      </c>
      <c r="E14" s="7">
        <f ca="1">OFFSET(Data!$M$62,E$12,,1,1)</f>
        <v>737692</v>
      </c>
      <c r="F14" s="7">
        <f ca="1">OFFSET(Data!$M$62,F$12,,1,1)</f>
        <v>548292</v>
      </c>
      <c r="G14" s="7">
        <f ca="1">OFFSET(Data!$M$62,G$12,,1,1)</f>
        <v>491263</v>
      </c>
      <c r="H14" s="7">
        <f ca="1">OFFSET(Data!$M$62,H$12,,1,1)</f>
        <v>407255</v>
      </c>
      <c r="I14" s="7">
        <f ca="1">OFFSET(Data!$M$62,I$12,,1,1)</f>
        <v>482182</v>
      </c>
      <c r="J14" s="7">
        <f ca="1">OFFSET(Data!$M$62,J$12,,1,1)</f>
        <v>381849</v>
      </c>
      <c r="K14" s="7">
        <f ca="1">OFFSET(Data!$M$62,K$12,,1,1)</f>
        <v>449086</v>
      </c>
      <c r="L14" s="7">
        <f ca="1">OFFSET(Data!$M$62,L$12,,1,1)</f>
        <v>574147</v>
      </c>
      <c r="M14" s="7">
        <f ca="1">OFFSET(Data!$M$62,M$12,,1,1)</f>
        <v>841070</v>
      </c>
      <c r="N14" s="7">
        <f ca="1">OFFSET(Data!$M$62,N$12,,1,1)</f>
        <v>985443</v>
      </c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63" x14ac:dyDescent="0.25">
      <c r="C15" t="s">
        <v>46</v>
      </c>
      <c r="E15" s="30">
        <f ca="1">E13*200*2</f>
        <v>144800</v>
      </c>
      <c r="F15" s="30">
        <f t="shared" ref="F15:N15" ca="1" si="3">F13*200*2</f>
        <v>138000</v>
      </c>
      <c r="G15" s="30">
        <f t="shared" ca="1" si="3"/>
        <v>146400</v>
      </c>
      <c r="H15" s="30">
        <f t="shared" ca="1" si="3"/>
        <v>138000</v>
      </c>
      <c r="I15" s="30">
        <f t="shared" ca="1" si="3"/>
        <v>146800</v>
      </c>
      <c r="J15" s="30">
        <f t="shared" ca="1" si="3"/>
        <v>140800</v>
      </c>
      <c r="K15" s="30">
        <f t="shared" ca="1" si="3"/>
        <v>146800</v>
      </c>
      <c r="L15" s="30">
        <f t="shared" ca="1" si="3"/>
        <v>139600</v>
      </c>
      <c r="M15" s="30">
        <f t="shared" ca="1" si="3"/>
        <v>146800</v>
      </c>
      <c r="N15" s="30">
        <f t="shared" ca="1" si="3"/>
        <v>139600</v>
      </c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63" x14ac:dyDescent="0.25">
      <c r="C16" t="s">
        <v>47</v>
      </c>
      <c r="E16" s="30">
        <f t="shared" ref="E16:N16" ca="1" si="4">E14-E15</f>
        <v>592892</v>
      </c>
      <c r="F16" s="30">
        <f t="shared" ca="1" si="4"/>
        <v>410292</v>
      </c>
      <c r="G16" s="30">
        <f t="shared" ca="1" si="4"/>
        <v>344863</v>
      </c>
      <c r="H16" s="30">
        <f t="shared" ca="1" si="4"/>
        <v>269255</v>
      </c>
      <c r="I16" s="30">
        <f t="shared" ca="1" si="4"/>
        <v>335382</v>
      </c>
      <c r="J16" s="30">
        <f t="shared" ca="1" si="4"/>
        <v>241049</v>
      </c>
      <c r="K16" s="30">
        <f t="shared" ca="1" si="4"/>
        <v>302286</v>
      </c>
      <c r="L16" s="30">
        <f t="shared" ca="1" si="4"/>
        <v>434547</v>
      </c>
      <c r="M16" s="30">
        <f t="shared" ca="1" si="4"/>
        <v>694270</v>
      </c>
      <c r="N16" s="30">
        <f t="shared" ca="1" si="4"/>
        <v>845843</v>
      </c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spans="2:38" x14ac:dyDescent="0.25">
      <c r="E17" s="30"/>
      <c r="F17" s="30"/>
      <c r="G17" s="30"/>
      <c r="H17" s="30"/>
      <c r="I17" s="30"/>
      <c r="J17" s="30"/>
      <c r="K17" s="30"/>
      <c r="L17" s="30"/>
      <c r="M17" s="30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2:38" x14ac:dyDescent="0.25">
      <c r="B18" s="3" t="s">
        <v>37</v>
      </c>
      <c r="D18" t="s">
        <v>122</v>
      </c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spans="2:38" x14ac:dyDescent="0.25">
      <c r="C19" t="s">
        <v>142</v>
      </c>
      <c r="D19">
        <v>13.43</v>
      </c>
      <c r="E19" s="42">
        <f ca="1">$D19*E13*2</f>
        <v>9723.32</v>
      </c>
      <c r="F19" s="42">
        <f t="shared" ref="F19:N19" ca="1" si="5">$D19*F13*2</f>
        <v>9266.6999999999989</v>
      </c>
      <c r="G19" s="42">
        <f t="shared" ca="1" si="5"/>
        <v>9830.76</v>
      </c>
      <c r="H19" s="42">
        <f t="shared" ca="1" si="5"/>
        <v>9266.6999999999989</v>
      </c>
      <c r="I19" s="42">
        <f t="shared" ca="1" si="5"/>
        <v>9857.619999999999</v>
      </c>
      <c r="J19" s="42">
        <f t="shared" ca="1" si="5"/>
        <v>9454.7199999999993</v>
      </c>
      <c r="K19" s="42">
        <f t="shared" ca="1" si="5"/>
        <v>9857.619999999999</v>
      </c>
      <c r="L19" s="42">
        <f t="shared" ca="1" si="5"/>
        <v>9374.14</v>
      </c>
      <c r="M19" s="42">
        <f t="shared" ca="1" si="5"/>
        <v>9857.619999999999</v>
      </c>
      <c r="N19" s="42">
        <f t="shared" ca="1" si="5"/>
        <v>9374.14</v>
      </c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2:38" x14ac:dyDescent="0.25">
      <c r="C20" t="s">
        <v>32</v>
      </c>
      <c r="D20" s="92">
        <v>0.18807499999999999</v>
      </c>
      <c r="E20" s="31">
        <f t="shared" ref="E20:M20" ca="1" si="6">$D20*E15</f>
        <v>27233.26</v>
      </c>
      <c r="F20" s="7">
        <f t="shared" ca="1" si="6"/>
        <v>25954.35</v>
      </c>
      <c r="G20" s="7">
        <f t="shared" ca="1" si="6"/>
        <v>27534.18</v>
      </c>
      <c r="H20" s="7">
        <f t="shared" ca="1" si="6"/>
        <v>25954.35</v>
      </c>
      <c r="I20" s="7">
        <f t="shared" ca="1" si="6"/>
        <v>27609.41</v>
      </c>
      <c r="J20" s="7">
        <f t="shared" ca="1" si="6"/>
        <v>26480.959999999999</v>
      </c>
      <c r="K20" s="7">
        <f t="shared" ca="1" si="6"/>
        <v>27609.41</v>
      </c>
      <c r="L20" s="7">
        <f t="shared" ca="1" si="6"/>
        <v>26255.27</v>
      </c>
      <c r="M20" s="7">
        <f t="shared" ca="1" si="6"/>
        <v>27609.41</v>
      </c>
      <c r="N20" s="7">
        <f t="shared" ref="N20" ca="1" si="7">$D20*N15</f>
        <v>26255.27</v>
      </c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2:38" x14ac:dyDescent="0.25">
      <c r="C21" t="s">
        <v>33</v>
      </c>
      <c r="D21" s="92">
        <v>0.16284499999999999</v>
      </c>
      <c r="E21" s="31">
        <f t="shared" ref="E21:M21" ca="1" si="8">$D21*E16</f>
        <v>96549.497739999992</v>
      </c>
      <c r="F21" s="7">
        <f t="shared" ca="1" si="8"/>
        <v>66814.000739999989</v>
      </c>
      <c r="G21" s="7">
        <f t="shared" ca="1" si="8"/>
        <v>56159.215234999996</v>
      </c>
      <c r="H21" s="7">
        <f t="shared" ca="1" si="8"/>
        <v>43846.830474999995</v>
      </c>
      <c r="I21" s="7">
        <f t="shared" ca="1" si="8"/>
        <v>54615.281789999994</v>
      </c>
      <c r="J21" s="7">
        <f t="shared" ca="1" si="8"/>
        <v>39253.624404999995</v>
      </c>
      <c r="K21" s="7">
        <f t="shared" ca="1" si="8"/>
        <v>49225.76367</v>
      </c>
      <c r="L21" s="7">
        <f t="shared" ca="1" si="8"/>
        <v>70763.80621499999</v>
      </c>
      <c r="M21" s="7">
        <f t="shared" ca="1" si="8"/>
        <v>113058.39814999999</v>
      </c>
      <c r="N21" s="7">
        <f t="shared" ref="N21" ca="1" si="9">$D21*N16</f>
        <v>137741.303335</v>
      </c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2:38" x14ac:dyDescent="0.25">
      <c r="F22" s="7"/>
      <c r="G22" s="7"/>
      <c r="H22" s="7"/>
      <c r="I22" s="7"/>
      <c r="J22" s="7"/>
      <c r="K22" s="7"/>
      <c r="L22" s="7"/>
      <c r="M22" s="7"/>
      <c r="N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2:38" x14ac:dyDescent="0.25">
      <c r="C23" t="s">
        <v>34</v>
      </c>
      <c r="E23" s="30">
        <f t="shared" ref="E23:M23" ca="1" si="10">SUM(E19:E22)</f>
        <v>133506.07773999998</v>
      </c>
      <c r="F23" s="30">
        <f t="shared" ca="1" si="10"/>
        <v>102035.05073999998</v>
      </c>
      <c r="G23" s="30">
        <f t="shared" ca="1" si="10"/>
        <v>93524.155234999998</v>
      </c>
      <c r="H23" s="30">
        <f t="shared" ca="1" si="10"/>
        <v>79067.880474999984</v>
      </c>
      <c r="I23" s="30">
        <f t="shared" ca="1" si="10"/>
        <v>92082.311789999992</v>
      </c>
      <c r="J23" s="30">
        <f t="shared" ca="1" si="10"/>
        <v>75189.304405000003</v>
      </c>
      <c r="K23" s="30">
        <f t="shared" ca="1" si="10"/>
        <v>86692.793669999999</v>
      </c>
      <c r="L23" s="30">
        <f t="shared" ca="1" si="10"/>
        <v>106393.21621499999</v>
      </c>
      <c r="M23" s="30">
        <f t="shared" ca="1" si="10"/>
        <v>150525.42814999999</v>
      </c>
      <c r="N23" s="30">
        <f t="shared" ref="N23" ca="1" si="11">SUM(N19:N22)</f>
        <v>173370.71333500001</v>
      </c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2:38" x14ac:dyDescent="0.25">
      <c r="C24" t="s">
        <v>35</v>
      </c>
      <c r="E24" s="5">
        <f>(0+3)/(31+30)</f>
        <v>4.9180327868852458E-2</v>
      </c>
      <c r="F24" s="5">
        <f>(3+31)/(30+31)</f>
        <v>0.55737704918032782</v>
      </c>
      <c r="G24" s="5">
        <v>1</v>
      </c>
      <c r="H24" s="5">
        <v>1</v>
      </c>
      <c r="I24" s="5">
        <v>1</v>
      </c>
      <c r="J24" s="5">
        <v>1</v>
      </c>
      <c r="K24" s="5">
        <v>1</v>
      </c>
      <c r="L24" s="5">
        <v>1</v>
      </c>
      <c r="M24" s="5">
        <v>1</v>
      </c>
      <c r="N24" s="5">
        <f>(31+0)/(31+31)</f>
        <v>0.5</v>
      </c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spans="2:38" x14ac:dyDescent="0.25">
      <c r="E25" s="23">
        <f t="shared" ref="E25:M25" ca="1" si="12">E24*E23</f>
        <v>6565.8726757377035</v>
      </c>
      <c r="F25" s="23">
        <f t="shared" ca="1" si="12"/>
        <v>56871.995494426214</v>
      </c>
      <c r="G25" s="23">
        <f t="shared" ca="1" si="12"/>
        <v>93524.155234999998</v>
      </c>
      <c r="H25" s="23">
        <f t="shared" ca="1" si="12"/>
        <v>79067.880474999984</v>
      </c>
      <c r="I25" s="23">
        <f t="shared" ca="1" si="12"/>
        <v>92082.311789999992</v>
      </c>
      <c r="J25" s="23">
        <f t="shared" ca="1" si="12"/>
        <v>75189.304405000003</v>
      </c>
      <c r="K25" s="23">
        <f t="shared" ca="1" si="12"/>
        <v>86692.793669999999</v>
      </c>
      <c r="L25" s="23">
        <f t="shared" ca="1" si="12"/>
        <v>106393.21621499999</v>
      </c>
      <c r="M25" s="23">
        <f t="shared" ca="1" si="12"/>
        <v>150525.42814999999</v>
      </c>
      <c r="N25" s="23">
        <f t="shared" ref="N25" ca="1" si="13">N24*N23</f>
        <v>86685.356667500004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2:38" x14ac:dyDescent="0.25">
      <c r="B26" s="3" t="s">
        <v>38</v>
      </c>
      <c r="D26" t="s">
        <v>121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</row>
    <row r="27" spans="2:38" x14ac:dyDescent="0.25">
      <c r="C27" t="s">
        <v>142</v>
      </c>
      <c r="D27">
        <v>13.43</v>
      </c>
      <c r="E27" s="7">
        <f ca="1">$D27*E13*2</f>
        <v>9723.32</v>
      </c>
      <c r="F27" s="7">
        <f t="shared" ref="F27:N27" ca="1" si="14">$D27*F13*2</f>
        <v>9266.6999999999989</v>
      </c>
      <c r="G27" s="7">
        <f t="shared" ca="1" si="14"/>
        <v>9830.76</v>
      </c>
      <c r="H27" s="7">
        <f t="shared" ca="1" si="14"/>
        <v>9266.6999999999989</v>
      </c>
      <c r="I27" s="7">
        <f t="shared" ca="1" si="14"/>
        <v>9857.619999999999</v>
      </c>
      <c r="J27" s="7">
        <f t="shared" ca="1" si="14"/>
        <v>9454.7199999999993</v>
      </c>
      <c r="K27" s="7">
        <f t="shared" ca="1" si="14"/>
        <v>9857.619999999999</v>
      </c>
      <c r="L27" s="7">
        <f t="shared" ca="1" si="14"/>
        <v>9374.14</v>
      </c>
      <c r="M27" s="7">
        <f t="shared" ca="1" si="14"/>
        <v>9857.619999999999</v>
      </c>
      <c r="N27" s="7">
        <f t="shared" ca="1" si="14"/>
        <v>9374.14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2:38" x14ac:dyDescent="0.25">
      <c r="C28" t="s">
        <v>32</v>
      </c>
      <c r="D28" s="32">
        <v>0.206203</v>
      </c>
      <c r="E28" s="7">
        <f ca="1">$D28*E15</f>
        <v>29858.1944</v>
      </c>
      <c r="F28" s="7">
        <f t="shared" ref="F28:M28" ca="1" si="15">$D28*F15</f>
        <v>28456.013999999999</v>
      </c>
      <c r="G28" s="7">
        <f t="shared" ca="1" si="15"/>
        <v>30188.119200000001</v>
      </c>
      <c r="H28" s="7">
        <f t="shared" ca="1" si="15"/>
        <v>28456.013999999999</v>
      </c>
      <c r="I28" s="7">
        <f t="shared" ca="1" si="15"/>
        <v>30270.600399999999</v>
      </c>
      <c r="J28" s="7">
        <f t="shared" ca="1" si="15"/>
        <v>29033.382399999999</v>
      </c>
      <c r="K28" s="7">
        <f t="shared" ca="1" si="15"/>
        <v>30270.600399999999</v>
      </c>
      <c r="L28" s="7">
        <f t="shared" ca="1" si="15"/>
        <v>28785.9388</v>
      </c>
      <c r="M28" s="7">
        <f t="shared" ca="1" si="15"/>
        <v>30270.600399999999</v>
      </c>
      <c r="N28" s="7">
        <f t="shared" ref="N28" ca="1" si="16">$D28*N15</f>
        <v>28785.9388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spans="2:38" x14ac:dyDescent="0.25">
      <c r="C29" t="s">
        <v>33</v>
      </c>
      <c r="D29" s="32">
        <v>0.17854100000000001</v>
      </c>
      <c r="E29" s="7">
        <f ca="1">$D29*E16</f>
        <v>105855.530572</v>
      </c>
      <c r="F29" s="7">
        <f t="shared" ref="F29:M29" ca="1" si="17">$D29*F16</f>
        <v>73253.943972000008</v>
      </c>
      <c r="G29" s="7">
        <f t="shared" ca="1" si="17"/>
        <v>61572.184883000002</v>
      </c>
      <c r="H29" s="7">
        <f t="shared" ca="1" si="17"/>
        <v>48073.056955</v>
      </c>
      <c r="I29" s="7">
        <f t="shared" ca="1" si="17"/>
        <v>59879.437662000004</v>
      </c>
      <c r="J29" s="7">
        <f t="shared" ca="1" si="17"/>
        <v>43037.129508999999</v>
      </c>
      <c r="K29" s="7">
        <f t="shared" ca="1" si="17"/>
        <v>53970.444726000002</v>
      </c>
      <c r="L29" s="7">
        <f t="shared" ca="1" si="17"/>
        <v>77584.455927000003</v>
      </c>
      <c r="M29" s="7">
        <f t="shared" ca="1" si="17"/>
        <v>123955.66007</v>
      </c>
      <c r="N29" s="7">
        <f t="shared" ref="N29" ca="1" si="18">$D29*N16</f>
        <v>151017.65506300001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spans="2:38" x14ac:dyDescent="0.25"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spans="2:38" x14ac:dyDescent="0.25">
      <c r="C31" t="s">
        <v>34</v>
      </c>
      <c r="E31" s="7">
        <f ca="1">SUM(E27:E30)</f>
        <v>145437.044972</v>
      </c>
      <c r="F31" s="7">
        <f t="shared" ref="F31:M31" ca="1" si="19">SUM(F27:F30)</f>
        <v>110976.65797200002</v>
      </c>
      <c r="G31" s="7">
        <f t="shared" ca="1" si="19"/>
        <v>101591.064083</v>
      </c>
      <c r="H31" s="7">
        <f t="shared" ca="1" si="19"/>
        <v>85795.770955</v>
      </c>
      <c r="I31" s="7">
        <f t="shared" ca="1" si="19"/>
        <v>100007.658062</v>
      </c>
      <c r="J31" s="7">
        <f t="shared" ca="1" si="19"/>
        <v>81525.231908999995</v>
      </c>
      <c r="K31" s="7">
        <f t="shared" ca="1" si="19"/>
        <v>94098.665126000007</v>
      </c>
      <c r="L31" s="7">
        <f t="shared" ca="1" si="19"/>
        <v>115744.53472700001</v>
      </c>
      <c r="M31" s="7">
        <f t="shared" ca="1" si="19"/>
        <v>164083.88047</v>
      </c>
      <c r="N31" s="7">
        <f t="shared" ref="N31" ca="1" si="20">SUM(N27:N30)</f>
        <v>189177.733863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spans="2:38" x14ac:dyDescent="0.25">
      <c r="C32" t="s">
        <v>35</v>
      </c>
      <c r="E32" s="9">
        <f>E24</f>
        <v>4.9180327868852458E-2</v>
      </c>
      <c r="F32" s="9">
        <f t="shared" ref="F32:M32" si="21">F24</f>
        <v>0.55737704918032782</v>
      </c>
      <c r="G32" s="9">
        <f t="shared" si="21"/>
        <v>1</v>
      </c>
      <c r="H32" s="9">
        <f t="shared" si="21"/>
        <v>1</v>
      </c>
      <c r="I32" s="9">
        <f t="shared" si="21"/>
        <v>1</v>
      </c>
      <c r="J32" s="9">
        <f t="shared" si="21"/>
        <v>1</v>
      </c>
      <c r="K32" s="9">
        <f t="shared" si="21"/>
        <v>1</v>
      </c>
      <c r="L32" s="9">
        <f t="shared" si="21"/>
        <v>1</v>
      </c>
      <c r="M32" s="9">
        <f t="shared" si="21"/>
        <v>1</v>
      </c>
      <c r="N32" s="9">
        <f t="shared" ref="N32" si="22">N24</f>
        <v>0.5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spans="2:63" x14ac:dyDescent="0.25">
      <c r="E33" s="23">
        <f ca="1">E32*E31</f>
        <v>7152.6415559999996</v>
      </c>
      <c r="F33" s="23">
        <f t="shared" ref="F33:M33" ca="1" si="23">F32*F31</f>
        <v>61855.842148327873</v>
      </c>
      <c r="G33" s="23">
        <f t="shared" ca="1" si="23"/>
        <v>101591.064083</v>
      </c>
      <c r="H33" s="23">
        <f t="shared" ca="1" si="23"/>
        <v>85795.770955</v>
      </c>
      <c r="I33" s="23">
        <f t="shared" ca="1" si="23"/>
        <v>100007.658062</v>
      </c>
      <c r="J33" s="23">
        <f t="shared" ca="1" si="23"/>
        <v>81525.231908999995</v>
      </c>
      <c r="K33" s="23">
        <f t="shared" ca="1" si="23"/>
        <v>94098.665126000007</v>
      </c>
      <c r="L33" s="23">
        <f t="shared" ca="1" si="23"/>
        <v>115744.53472700001</v>
      </c>
      <c r="M33" s="23">
        <f t="shared" ca="1" si="23"/>
        <v>164083.88047</v>
      </c>
      <c r="N33" s="23">
        <f t="shared" ref="N33" ca="1" si="24">N32*N31</f>
        <v>94588.866931500001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2:63" x14ac:dyDescent="0.25"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spans="2:63" x14ac:dyDescent="0.25">
      <c r="C35" s="3" t="s">
        <v>25</v>
      </c>
      <c r="E35" s="38">
        <f ca="1">E33-E25</f>
        <v>586.76888026229608</v>
      </c>
      <c r="F35" s="38">
        <f t="shared" ref="F35:M35" ca="1" si="25">F33-F25</f>
        <v>4983.846653901659</v>
      </c>
      <c r="G35" s="38">
        <f t="shared" ca="1" si="25"/>
        <v>8066.9088480000064</v>
      </c>
      <c r="H35" s="38">
        <f t="shared" ca="1" si="25"/>
        <v>6727.8904800000164</v>
      </c>
      <c r="I35" s="38">
        <f t="shared" ca="1" si="25"/>
        <v>7925.3462720000098</v>
      </c>
      <c r="J35" s="38">
        <f t="shared" ca="1" si="25"/>
        <v>6335.927503999992</v>
      </c>
      <c r="K35" s="38">
        <f t="shared" ca="1" si="25"/>
        <v>7405.871456000008</v>
      </c>
      <c r="L35" s="38">
        <f t="shared" ca="1" si="25"/>
        <v>9351.3185120000126</v>
      </c>
      <c r="M35" s="38">
        <f t="shared" ca="1" si="25"/>
        <v>13558.452320000011</v>
      </c>
      <c r="N35" s="38">
        <f t="shared" ref="N35" ca="1" si="26">N33-N25</f>
        <v>7903.5102639999968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spans="2:63" x14ac:dyDescent="0.25">
      <c r="C36" t="s">
        <v>36</v>
      </c>
      <c r="E36" s="9">
        <f ca="1">E35/E25</f>
        <v>8.9366472552922321E-2</v>
      </c>
      <c r="F36" s="9">
        <f t="shared" ref="F36:M36" ca="1" si="27">F35/F25</f>
        <v>8.7632702362098497E-2</v>
      </c>
      <c r="G36" s="9">
        <f t="shared" ca="1" si="27"/>
        <v>8.6254816498797821E-2</v>
      </c>
      <c r="H36" s="9">
        <f t="shared" ca="1" si="27"/>
        <v>8.509005729737841E-2</v>
      </c>
      <c r="I36" s="9">
        <f t="shared" ca="1" si="27"/>
        <v>8.6068063648035945E-2</v>
      </c>
      <c r="J36" s="9">
        <f t="shared" ca="1" si="27"/>
        <v>8.4266340194771902E-2</v>
      </c>
      <c r="K36" s="9">
        <f t="shared" ca="1" si="27"/>
        <v>8.5426609784785446E-2</v>
      </c>
      <c r="L36" s="9">
        <f t="shared" ca="1" si="27"/>
        <v>8.7893935766570092E-2</v>
      </c>
      <c r="M36" s="9">
        <f t="shared" ca="1" si="27"/>
        <v>9.0074165452556545E-2</v>
      </c>
      <c r="N36" s="9">
        <f t="shared" ref="N36" ca="1" si="28">N35/N25</f>
        <v>9.1174687027193987E-2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63" x14ac:dyDescent="0.25"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2:63" x14ac:dyDescent="0.25">
      <c r="C38" s="115" t="s">
        <v>110</v>
      </c>
      <c r="D38" s="115"/>
      <c r="E38" s="116">
        <f ca="1">E31/E13</f>
        <v>401.75979274033148</v>
      </c>
      <c r="F38" s="116">
        <f t="shared" ref="F38:N38" ca="1" si="29">F31/F13</f>
        <v>321.67147238260873</v>
      </c>
      <c r="G38" s="116">
        <f t="shared" ca="1" si="29"/>
        <v>277.57121334153004</v>
      </c>
      <c r="H38" s="116">
        <f t="shared" ca="1" si="29"/>
        <v>248.68339407246376</v>
      </c>
      <c r="I38" s="116">
        <f t="shared" ca="1" si="29"/>
        <v>272.50043068664849</v>
      </c>
      <c r="J38" s="116">
        <f t="shared" ca="1" si="29"/>
        <v>231.60577246874999</v>
      </c>
      <c r="K38" s="116">
        <f t="shared" ca="1" si="29"/>
        <v>256.39963249591284</v>
      </c>
      <c r="L38" s="116">
        <f t="shared" ca="1" si="29"/>
        <v>331.64623130945563</v>
      </c>
      <c r="M38" s="116">
        <f t="shared" ca="1" si="29"/>
        <v>447.09504215258858</v>
      </c>
      <c r="N38" s="116">
        <f t="shared" ca="1" si="29"/>
        <v>542.05654402005734</v>
      </c>
    </row>
    <row r="39" spans="2:63" x14ac:dyDescent="0.25">
      <c r="C39" s="115" t="s">
        <v>111</v>
      </c>
      <c r="D39" s="115"/>
      <c r="E39" s="116">
        <f ca="1">$D$43*E14/E13/100</f>
        <v>10.777814483303771</v>
      </c>
      <c r="F39" s="116">
        <f t="shared" ref="F39:N39" ca="1" si="30">$D$43*F14/F13/100</f>
        <v>8.4053734693329538</v>
      </c>
      <c r="G39" s="116">
        <f t="shared" ca="1" si="30"/>
        <v>7.0989999206248182</v>
      </c>
      <c r="H39" s="116">
        <f t="shared" ca="1" si="30"/>
        <v>6.2432615691149831</v>
      </c>
      <c r="I39" s="116">
        <f t="shared" ca="1" si="30"/>
        <v>6.9487890947560906</v>
      </c>
      <c r="J39" s="116">
        <f t="shared" ca="1" si="30"/>
        <v>5.7373744468385102</v>
      </c>
      <c r="K39" s="116">
        <f t="shared" ca="1" si="30"/>
        <v>6.4718382258309797</v>
      </c>
      <c r="L39" s="116">
        <f t="shared" ca="1" si="30"/>
        <v>8.7008538474557948</v>
      </c>
      <c r="M39" s="116">
        <f t="shared" ca="1" si="30"/>
        <v>12.120771915846101</v>
      </c>
      <c r="N39" s="116">
        <f t="shared" ca="1" si="30"/>
        <v>14.933798344323632</v>
      </c>
    </row>
    <row r="40" spans="2:63" x14ac:dyDescent="0.25">
      <c r="C40" s="115" t="s">
        <v>138</v>
      </c>
      <c r="D40" s="115"/>
      <c r="E40" s="117">
        <f ca="1">E39/E38</f>
        <v>2.6826513449218579E-2</v>
      </c>
      <c r="F40" s="117">
        <f t="shared" ref="F40:N40" ca="1" si="31">F39/F38</f>
        <v>2.6130304335273073E-2</v>
      </c>
      <c r="G40" s="117">
        <f t="shared" ca="1" si="31"/>
        <v>2.5575418413039987E-2</v>
      </c>
      <c r="H40" s="117">
        <f t="shared" ca="1" si="31"/>
        <v>2.5105261219395138E-2</v>
      </c>
      <c r="I40" s="117">
        <f t="shared" ca="1" si="31"/>
        <v>2.5500103164044486E-2</v>
      </c>
      <c r="J40" s="117">
        <f t="shared" ca="1" si="31"/>
        <v>2.4772156521326083E-2</v>
      </c>
      <c r="K40" s="117">
        <f t="shared" ca="1" si="31"/>
        <v>2.5241214906710698E-2</v>
      </c>
      <c r="L40" s="117">
        <f t="shared" ca="1" si="31"/>
        <v>2.6235346661717736E-2</v>
      </c>
      <c r="M40" s="117">
        <f t="shared" ca="1" si="31"/>
        <v>2.7110056639164017E-2</v>
      </c>
      <c r="N40" s="117">
        <f t="shared" ca="1" si="31"/>
        <v>2.7550259302415225E-2</v>
      </c>
    </row>
    <row r="41" spans="2:63" ht="15.75" thickBot="1" x14ac:dyDescent="0.3">
      <c r="B41" s="3" t="s">
        <v>14</v>
      </c>
      <c r="E41" s="35"/>
      <c r="F41" s="7"/>
      <c r="G41" s="7"/>
      <c r="H41" s="7"/>
      <c r="I41" s="7"/>
      <c r="J41" s="7"/>
      <c r="K41" s="7"/>
      <c r="L41" s="7"/>
      <c r="M41" s="7"/>
    </row>
    <row r="42" spans="2:63" x14ac:dyDescent="0.25">
      <c r="B42" s="113" t="s">
        <v>41</v>
      </c>
      <c r="C42" s="109"/>
      <c r="D42" s="110"/>
      <c r="E42" s="7"/>
      <c r="F42" s="7"/>
      <c r="G42" s="7"/>
      <c r="H42" s="7"/>
      <c r="I42" s="7"/>
      <c r="J42" s="7"/>
      <c r="K42" s="7"/>
      <c r="L42" s="7"/>
      <c r="M42" s="40"/>
    </row>
    <row r="43" spans="2:63" ht="15.75" thickBot="1" x14ac:dyDescent="0.3">
      <c r="B43" s="114"/>
      <c r="C43" s="111" t="s">
        <v>27</v>
      </c>
      <c r="D43" s="112">
        <v>0.52888859347206763</v>
      </c>
      <c r="E43" s="7"/>
      <c r="F43" s="7"/>
      <c r="G43" s="7"/>
      <c r="H43" s="7"/>
      <c r="I43" s="7"/>
      <c r="J43" s="7"/>
      <c r="K43" s="7"/>
      <c r="L43" s="7"/>
      <c r="M43" s="40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>
        <f ca="1">$D$43*AL11/100</f>
        <v>5801.9613229525621</v>
      </c>
      <c r="AM43" s="7">
        <f t="shared" ref="AM43:BI43" ca="1" si="32">$D$43*AM11/100</f>
        <v>4313.445906457835</v>
      </c>
      <c r="AN43" s="7">
        <f t="shared" ca="1" si="32"/>
        <v>4203.671749153259</v>
      </c>
      <c r="AO43" s="7">
        <f t="shared" ca="1" si="32"/>
        <v>2987.0040386751812</v>
      </c>
      <c r="AP43" s="7">
        <f t="shared" ca="1" si="32"/>
        <v>2535.5669797634023</v>
      </c>
      <c r="AQ43" s="7">
        <f t="shared" ca="1" si="32"/>
        <v>2205.0347158364016</v>
      </c>
      <c r="AR43" s="7">
        <f t="shared" ca="1" si="32"/>
        <v>2652.0652657977862</v>
      </c>
      <c r="AS43" s="7">
        <f t="shared" ca="1" si="32"/>
        <v>1954.1558194529935</v>
      </c>
      <c r="AT43" s="7">
        <f t="shared" ca="1" si="32"/>
        <v>2546.5680952918424</v>
      </c>
      <c r="AU43" s="7">
        <f t="shared" ca="1" si="32"/>
        <v>3015.6890616049227</v>
      </c>
      <c r="AV43" s="7">
        <f t="shared" ca="1" si="32"/>
        <v>4753.7275255752438</v>
      </c>
      <c r="AW43" s="7">
        <f t="shared" ca="1" si="32"/>
        <v>5076.4664140727791</v>
      </c>
      <c r="AX43" s="7">
        <f t="shared" ca="1" si="32"/>
        <v>5898.4971553652549</v>
      </c>
      <c r="AY43" s="7">
        <f t="shared" ca="1" si="32"/>
        <v>4385.2151010403186</v>
      </c>
      <c r="AZ43" s="7">
        <f t="shared" ca="1" si="32"/>
        <v>4273.6144683314906</v>
      </c>
      <c r="BA43" s="7">
        <f t="shared" ca="1" si="32"/>
        <v>3036.7032533446863</v>
      </c>
      <c r="BB43" s="7">
        <f t="shared" ca="1" si="32"/>
        <v>2577.7549667913881</v>
      </c>
      <c r="BC43" s="7">
        <f t="shared" ca="1" si="32"/>
        <v>2241.7231475482881</v>
      </c>
      <c r="BD43" s="7">
        <f t="shared" ca="1" si="32"/>
        <v>2696.1916075287741</v>
      </c>
      <c r="BE43" s="7">
        <f t="shared" ca="1" si="32"/>
        <v>1986.6700070172433</v>
      </c>
      <c r="BF43" s="7">
        <f t="shared" ca="1" si="32"/>
        <v>2588.9391241889289</v>
      </c>
      <c r="BG43" s="7">
        <f t="shared" ca="1" si="32"/>
        <v>3065.8655515288051</v>
      </c>
      <c r="BH43" s="7">
        <f t="shared" ca="1" si="32"/>
        <v>4832.8223382085353</v>
      </c>
      <c r="BI43" s="7">
        <f t="shared" ca="1" si="32"/>
        <v>5160.9311120808325</v>
      </c>
    </row>
    <row r="45" spans="2:63" s="3" customFormat="1" x14ac:dyDescent="0.25">
      <c r="C45" s="3" t="s">
        <v>9</v>
      </c>
      <c r="E45" s="88"/>
      <c r="F45" s="89"/>
      <c r="G45" s="89">
        <v>45092</v>
      </c>
      <c r="H45" s="89">
        <f>DATE(YEAR(G45),MONTH(G45)+1,DAY(G45))</f>
        <v>45122</v>
      </c>
      <c r="I45" s="89">
        <f t="shared" ref="I45:AY45" si="33">DATE(YEAR(H45),MONTH(H45)+1,DAY(H45))</f>
        <v>45153</v>
      </c>
      <c r="J45" s="89">
        <f t="shared" si="33"/>
        <v>45184</v>
      </c>
      <c r="K45" s="89">
        <f t="shared" si="33"/>
        <v>45214</v>
      </c>
      <c r="L45" s="89">
        <f t="shared" si="33"/>
        <v>45245</v>
      </c>
      <c r="M45" s="89">
        <f t="shared" si="33"/>
        <v>45275</v>
      </c>
      <c r="N45" s="89">
        <f t="shared" si="33"/>
        <v>45306</v>
      </c>
      <c r="O45" s="89">
        <f t="shared" si="33"/>
        <v>45337</v>
      </c>
      <c r="P45" s="89">
        <f t="shared" si="33"/>
        <v>45366</v>
      </c>
      <c r="Q45" s="89">
        <f t="shared" si="33"/>
        <v>45397</v>
      </c>
      <c r="R45" s="89">
        <f t="shared" si="33"/>
        <v>45427</v>
      </c>
      <c r="S45" s="89">
        <f t="shared" si="33"/>
        <v>45458</v>
      </c>
      <c r="T45" s="89">
        <f t="shared" si="33"/>
        <v>45488</v>
      </c>
      <c r="U45" s="89">
        <f t="shared" si="33"/>
        <v>45519</v>
      </c>
      <c r="V45" s="89">
        <f t="shared" si="33"/>
        <v>45550</v>
      </c>
      <c r="W45" s="89">
        <f t="shared" si="33"/>
        <v>45580</v>
      </c>
      <c r="X45" s="89">
        <f t="shared" si="33"/>
        <v>45611</v>
      </c>
      <c r="Y45" s="89">
        <f t="shared" si="33"/>
        <v>45641</v>
      </c>
      <c r="Z45" s="89">
        <f t="shared" si="33"/>
        <v>45672</v>
      </c>
      <c r="AA45" s="89">
        <f t="shared" si="33"/>
        <v>45703</v>
      </c>
      <c r="AB45" s="89">
        <f t="shared" si="33"/>
        <v>45731</v>
      </c>
      <c r="AC45" s="89">
        <f t="shared" si="33"/>
        <v>45762</v>
      </c>
      <c r="AD45" s="89">
        <f t="shared" si="33"/>
        <v>45792</v>
      </c>
      <c r="AE45" s="89">
        <f t="shared" si="33"/>
        <v>45823</v>
      </c>
      <c r="AF45" s="89">
        <f t="shared" si="33"/>
        <v>45853</v>
      </c>
      <c r="AG45" s="89">
        <f t="shared" si="33"/>
        <v>45884</v>
      </c>
      <c r="AH45" s="89">
        <f t="shared" si="33"/>
        <v>45915</v>
      </c>
      <c r="AI45" s="89">
        <f t="shared" si="33"/>
        <v>45945</v>
      </c>
      <c r="AJ45" s="89">
        <f t="shared" si="33"/>
        <v>45976</v>
      </c>
      <c r="AK45" s="89">
        <f t="shared" si="33"/>
        <v>46006</v>
      </c>
      <c r="AL45" s="89">
        <f t="shared" si="33"/>
        <v>46037</v>
      </c>
      <c r="AM45" s="89">
        <f t="shared" si="33"/>
        <v>46068</v>
      </c>
      <c r="AN45" s="89">
        <f t="shared" si="33"/>
        <v>46096</v>
      </c>
      <c r="AO45" s="89">
        <f t="shared" si="33"/>
        <v>46127</v>
      </c>
      <c r="AP45" s="89">
        <f t="shared" si="33"/>
        <v>46157</v>
      </c>
      <c r="AQ45" s="89">
        <f t="shared" si="33"/>
        <v>46188</v>
      </c>
      <c r="AR45" s="89">
        <f t="shared" si="33"/>
        <v>46218</v>
      </c>
      <c r="AS45" s="89">
        <f t="shared" si="33"/>
        <v>46249</v>
      </c>
      <c r="AT45" s="89">
        <f t="shared" si="33"/>
        <v>46280</v>
      </c>
      <c r="AU45" s="89">
        <f t="shared" si="33"/>
        <v>46310</v>
      </c>
      <c r="AV45" s="89">
        <f t="shared" si="33"/>
        <v>46341</v>
      </c>
      <c r="AW45" s="89">
        <f t="shared" si="33"/>
        <v>46371</v>
      </c>
      <c r="AX45" s="89">
        <f t="shared" si="33"/>
        <v>46402</v>
      </c>
      <c r="AY45" s="89">
        <f t="shared" si="33"/>
        <v>46433</v>
      </c>
      <c r="AZ45" s="89">
        <f t="shared" ref="AZ45:BK45" si="34">DATE(YEAR(AY45),MONTH(AY45)+1,DAY(AY45))</f>
        <v>46461</v>
      </c>
      <c r="BA45" s="89">
        <f t="shared" si="34"/>
        <v>46492</v>
      </c>
      <c r="BB45" s="89">
        <f t="shared" si="34"/>
        <v>46522</v>
      </c>
      <c r="BC45" s="89">
        <f t="shared" si="34"/>
        <v>46553</v>
      </c>
      <c r="BD45" s="89">
        <f t="shared" si="34"/>
        <v>46583</v>
      </c>
      <c r="BE45" s="89">
        <f t="shared" si="34"/>
        <v>46614</v>
      </c>
      <c r="BF45" s="89">
        <f t="shared" si="34"/>
        <v>46645</v>
      </c>
      <c r="BG45" s="89">
        <f t="shared" si="34"/>
        <v>46675</v>
      </c>
      <c r="BH45" s="89">
        <f t="shared" si="34"/>
        <v>46706</v>
      </c>
      <c r="BI45" s="89">
        <f t="shared" si="34"/>
        <v>46736</v>
      </c>
      <c r="BJ45" s="89">
        <f t="shared" si="34"/>
        <v>46767</v>
      </c>
      <c r="BK45" s="89">
        <f t="shared" si="34"/>
        <v>46798</v>
      </c>
    </row>
    <row r="46" spans="2:63" x14ac:dyDescent="0.25">
      <c r="C46" t="s">
        <v>10</v>
      </c>
      <c r="E46" s="39">
        <v>0</v>
      </c>
      <c r="F46" s="24">
        <f>E50</f>
        <v>0</v>
      </c>
      <c r="G46" s="24">
        <f t="shared" ref="G46:AM46" si="35">F50</f>
        <v>0</v>
      </c>
      <c r="H46" s="24">
        <f t="shared" ca="1" si="35"/>
        <v>-587.91736523031238</v>
      </c>
      <c r="I46" s="24">
        <f t="shared" ca="1" si="35"/>
        <v>-5583.8203870064017</v>
      </c>
      <c r="J46" s="24">
        <f t="shared" ca="1" si="35"/>
        <v>-13688.377092366482</v>
      </c>
      <c r="K46" s="24">
        <f t="shared" ca="1" si="35"/>
        <v>-20483.020723487043</v>
      </c>
      <c r="L46" s="24">
        <f t="shared" ca="1" si="35"/>
        <v>-28504.06229520301</v>
      </c>
      <c r="M46" s="24">
        <f t="shared" ca="1" si="35"/>
        <v>-34963.973354041736</v>
      </c>
      <c r="N46" s="24">
        <f t="shared" ca="1" si="35"/>
        <v>-42521.210587383328</v>
      </c>
      <c r="O46" s="24">
        <f t="shared" ca="1" si="35"/>
        <v>-52057.286326209396</v>
      </c>
      <c r="P46" s="24">
        <f t="shared" ca="1" si="35"/>
        <v>-65846.060506941722</v>
      </c>
      <c r="Q46" s="24">
        <f t="shared" ca="1" si="35"/>
        <v>-74022.801832636265</v>
      </c>
      <c r="R46" s="24">
        <f t="shared" ca="1" si="35"/>
        <v>-74312.572057523532</v>
      </c>
      <c r="S46" s="24">
        <f t="shared" ca="1" si="35"/>
        <v>-74603.476619144247</v>
      </c>
      <c r="T46" s="24">
        <f t="shared" ca="1" si="35"/>
        <v>-74895.51995798164</v>
      </c>
      <c r="U46" s="24">
        <f t="shared" ca="1" si="35"/>
        <v>-75188.706531901684</v>
      </c>
      <c r="V46" s="24">
        <f t="shared" ca="1" si="35"/>
        <v>-75483.040816221168</v>
      </c>
      <c r="W46" s="24">
        <f t="shared" ca="1" si="35"/>
        <v>-75778.527303775976</v>
      </c>
      <c r="X46" s="24">
        <f t="shared" ca="1" si="35"/>
        <v>-76075.170504989685</v>
      </c>
      <c r="Y46" s="24">
        <f t="shared" ca="1" si="35"/>
        <v>-76372.974947942406</v>
      </c>
      <c r="Z46" s="24">
        <f t="shared" ca="1" si="35"/>
        <v>-76671.945178439928</v>
      </c>
      <c r="AA46" s="24">
        <f t="shared" ca="1" si="35"/>
        <v>-76972.08576008305</v>
      </c>
      <c r="AB46" s="24">
        <f t="shared" ca="1" si="35"/>
        <v>-77273.401274337302</v>
      </c>
      <c r="AC46" s="24">
        <f t="shared" ca="1" si="35"/>
        <v>-77575.896320602857</v>
      </c>
      <c r="AD46" s="24">
        <f t="shared" ca="1" si="35"/>
        <v>-77879.57551628472</v>
      </c>
      <c r="AE46" s="24">
        <f t="shared" ca="1" si="35"/>
        <v>-78184.443496863227</v>
      </c>
      <c r="AF46" s="24">
        <f t="shared" ca="1" si="35"/>
        <v>-78490.504915964819</v>
      </c>
      <c r="AG46" s="24">
        <f t="shared" ca="1" si="35"/>
        <v>-78797.764445433029</v>
      </c>
      <c r="AH46" s="24">
        <f t="shared" ca="1" si="35"/>
        <v>-79106.226775399846</v>
      </c>
      <c r="AI46" s="24">
        <f t="shared" ca="1" si="35"/>
        <v>-79415.896614357291</v>
      </c>
      <c r="AJ46" s="24">
        <f t="shared" ca="1" si="35"/>
        <v>-79726.778689229264</v>
      </c>
      <c r="AK46" s="24">
        <f t="shared" ca="1" si="35"/>
        <v>-80038.877745443722</v>
      </c>
      <c r="AL46" s="24">
        <f t="shared" ca="1" si="35"/>
        <v>-80352.198547005115</v>
      </c>
      <c r="AM46" s="24">
        <f t="shared" ca="1" si="35"/>
        <v>-80666.745876567104</v>
      </c>
      <c r="AN46" s="24">
        <f t="shared" ref="AN46" ca="1" si="36">AM50</f>
        <v>-80982.524535505567</v>
      </c>
      <c r="AO46" s="24">
        <f t="shared" ref="AO46" ca="1" si="37">AN50</f>
        <v>-75486.221820005871</v>
      </c>
      <c r="AP46" s="24">
        <f t="shared" ref="AP46" ca="1" si="38">AO50</f>
        <v>-71459.83212935488</v>
      </c>
      <c r="AQ46" s="24">
        <f t="shared" ref="AQ46" ca="1" si="39">AP50</f>
        <v>-67527.669721578859</v>
      </c>
      <c r="AR46" s="24">
        <f t="shared" ref="AR46" ca="1" si="40">AQ50</f>
        <v>-64799.163539666595</v>
      </c>
      <c r="AS46" s="24">
        <f t="shared" ref="AS46" ca="1" si="41">AR50</f>
        <v>-62512.296985024201</v>
      </c>
      <c r="AT46" s="24">
        <f t="shared" ref="AT46" ca="1" si="42">AS50</f>
        <v>-60547.657461105249</v>
      </c>
      <c r="AU46" s="24">
        <f t="shared" ref="AU46" ca="1" si="43">AT50</f>
        <v>-58127.421619752364</v>
      </c>
      <c r="AV46" s="24">
        <f t="shared" ref="AV46" ca="1" si="44">AU50</f>
        <v>-56396.986971874067</v>
      </c>
      <c r="AW46" s="24">
        <f t="shared" ref="AW46" ca="1" si="45">AV50</f>
        <v>-54066.206544672496</v>
      </c>
      <c r="AX46" s="24">
        <f t="shared" ref="AX46" ca="1" si="46">AW50</f>
        <v>-51256.262848055245</v>
      </c>
      <c r="AY46" s="24">
        <f t="shared" ref="AY46" ca="1" si="47">AX50</f>
        <v>-46693.878991114922</v>
      </c>
      <c r="AZ46" s="24">
        <f t="shared" ref="AZ46" ca="1" si="48">AY50</f>
        <v>-41790.264604959491</v>
      </c>
      <c r="BA46" s="24">
        <f t="shared" ref="BA46" ca="1" si="49">AZ50</f>
        <v>-36043.814787312163</v>
      </c>
      <c r="BB46" s="24">
        <f t="shared" ref="BB46" ca="1" si="50">BA50</f>
        <v>-31791.113880423654</v>
      </c>
      <c r="BC46" s="24">
        <f t="shared" ref="BC46" ca="1" si="51">BB50</f>
        <v>-27633.584387167688</v>
      </c>
      <c r="BD46" s="24">
        <f t="shared" ref="BD46" ca="1" si="52">BC50</f>
        <v>-24699.11202326031</v>
      </c>
      <c r="BE46" s="24">
        <f t="shared" ref="BE46" ca="1" si="53">BD50</f>
        <v>-22212.99893923118</v>
      </c>
      <c r="BF46" s="24">
        <f t="shared" ref="BF46" ca="1" si="54">BE50</f>
        <v>-20053.843233557905</v>
      </c>
      <c r="BG46" s="24">
        <f t="shared" ref="BG46" ca="1" si="55">BF50</f>
        <v>-17430.877287652573</v>
      </c>
      <c r="BH46" s="24">
        <f t="shared" ref="BH46" ca="1" si="56">BG50</f>
        <v>-15508.553809088004</v>
      </c>
      <c r="BI46" s="24">
        <f t="shared" ref="BI46" ca="1" si="57">BH50</f>
        <v>-12975.257247553358</v>
      </c>
      <c r="BJ46" s="24">
        <f t="shared" ref="BJ46" ca="1" si="58">BI50</f>
        <v>-9954.1839067128221</v>
      </c>
      <c r="BK46" s="24">
        <f t="shared" ref="BK46" ca="1" si="59">BJ50</f>
        <v>-5150.868991180133</v>
      </c>
    </row>
    <row r="47" spans="2:63" x14ac:dyDescent="0.25">
      <c r="C47" t="s">
        <v>39</v>
      </c>
      <c r="E47" s="39">
        <v>0</v>
      </c>
      <c r="F47" s="39">
        <v>0</v>
      </c>
      <c r="G47" s="24">
        <f t="shared" ref="G47:AY47" ca="1" si="60">-E35</f>
        <v>-586.76888026229608</v>
      </c>
      <c r="H47" s="24">
        <f t="shared" ca="1" si="60"/>
        <v>-4983.846653901659</v>
      </c>
      <c r="I47" s="24">
        <f t="shared" ca="1" si="60"/>
        <v>-8066.9088480000064</v>
      </c>
      <c r="J47" s="24">
        <f t="shared" ca="1" si="60"/>
        <v>-6727.8904800000164</v>
      </c>
      <c r="K47" s="24">
        <f t="shared" ca="1" si="60"/>
        <v>-7925.3462720000098</v>
      </c>
      <c r="L47" s="24">
        <f t="shared" ca="1" si="60"/>
        <v>-6335.927503999992</v>
      </c>
      <c r="M47" s="24">
        <f t="shared" ca="1" si="60"/>
        <v>-7405.871456000008</v>
      </c>
      <c r="N47" s="24">
        <f t="shared" ca="1" si="60"/>
        <v>-9351.3185120000126</v>
      </c>
      <c r="O47" s="24">
        <f t="shared" ca="1" si="60"/>
        <v>-13558.452320000011</v>
      </c>
      <c r="P47" s="24">
        <f t="shared" ca="1" si="60"/>
        <v>-7903.5102639999968</v>
      </c>
      <c r="Q47" s="24">
        <f t="shared" si="60"/>
        <v>0</v>
      </c>
      <c r="R47" s="24">
        <f t="shared" si="60"/>
        <v>0</v>
      </c>
      <c r="S47" s="24">
        <f t="shared" si="60"/>
        <v>0</v>
      </c>
      <c r="T47" s="24">
        <f t="shared" si="60"/>
        <v>0</v>
      </c>
      <c r="U47" s="24">
        <f t="shared" si="60"/>
        <v>0</v>
      </c>
      <c r="V47" s="24">
        <f t="shared" si="60"/>
        <v>0</v>
      </c>
      <c r="W47" s="24">
        <f t="shared" si="60"/>
        <v>0</v>
      </c>
      <c r="X47" s="24">
        <f t="shared" si="60"/>
        <v>0</v>
      </c>
      <c r="Y47" s="24">
        <f t="shared" si="60"/>
        <v>0</v>
      </c>
      <c r="Z47" s="24">
        <f t="shared" si="60"/>
        <v>0</v>
      </c>
      <c r="AA47" s="24">
        <f t="shared" si="60"/>
        <v>0</v>
      </c>
      <c r="AB47" s="24">
        <f t="shared" si="60"/>
        <v>0</v>
      </c>
      <c r="AC47" s="24">
        <f t="shared" si="60"/>
        <v>0</v>
      </c>
      <c r="AD47" s="24">
        <f t="shared" si="60"/>
        <v>0</v>
      </c>
      <c r="AE47" s="24">
        <f t="shared" si="60"/>
        <v>0</v>
      </c>
      <c r="AF47" s="24">
        <f t="shared" si="60"/>
        <v>0</v>
      </c>
      <c r="AG47" s="24">
        <f t="shared" si="60"/>
        <v>0</v>
      </c>
      <c r="AH47" s="24">
        <f t="shared" si="60"/>
        <v>0</v>
      </c>
      <c r="AI47" s="24">
        <f t="shared" si="60"/>
        <v>0</v>
      </c>
      <c r="AJ47" s="24">
        <f t="shared" si="60"/>
        <v>0</v>
      </c>
      <c r="AK47" s="24">
        <f t="shared" si="60"/>
        <v>0</v>
      </c>
      <c r="AL47" s="24">
        <f t="shared" si="60"/>
        <v>0</v>
      </c>
      <c r="AM47" s="24">
        <f t="shared" si="60"/>
        <v>0</v>
      </c>
      <c r="AN47" s="24">
        <f t="shared" si="60"/>
        <v>0</v>
      </c>
      <c r="AO47" s="24">
        <f t="shared" si="60"/>
        <v>0</v>
      </c>
      <c r="AP47" s="24">
        <f t="shared" si="60"/>
        <v>0</v>
      </c>
      <c r="AQ47" s="24">
        <f t="shared" si="60"/>
        <v>0</v>
      </c>
      <c r="AR47" s="24">
        <f t="shared" si="60"/>
        <v>0</v>
      </c>
      <c r="AS47" s="24">
        <f t="shared" si="60"/>
        <v>0</v>
      </c>
      <c r="AT47" s="24">
        <f t="shared" si="60"/>
        <v>0</v>
      </c>
      <c r="AU47" s="24">
        <f t="shared" si="60"/>
        <v>0</v>
      </c>
      <c r="AV47" s="24">
        <f t="shared" si="60"/>
        <v>0</v>
      </c>
      <c r="AW47" s="24">
        <f t="shared" si="60"/>
        <v>0</v>
      </c>
      <c r="AX47" s="24">
        <f t="shared" si="60"/>
        <v>0</v>
      </c>
      <c r="AY47" s="24">
        <f t="shared" si="60"/>
        <v>0</v>
      </c>
      <c r="AZ47" s="24">
        <f t="shared" ref="AZ47" si="61">-AX35</f>
        <v>0</v>
      </c>
      <c r="BA47" s="24">
        <f t="shared" ref="BA47" si="62">-AY35</f>
        <v>0</v>
      </c>
      <c r="BB47" s="24">
        <f t="shared" ref="BB47" si="63">-AZ35</f>
        <v>0</v>
      </c>
      <c r="BC47" s="24">
        <f t="shared" ref="BC47" si="64">-BA35</f>
        <v>0</v>
      </c>
      <c r="BD47" s="24">
        <f t="shared" ref="BD47" si="65">-BB35</f>
        <v>0</v>
      </c>
      <c r="BE47" s="24">
        <f t="shared" ref="BE47" si="66">-BC35</f>
        <v>0</v>
      </c>
      <c r="BF47" s="24">
        <f t="shared" ref="BF47" si="67">-BD35</f>
        <v>0</v>
      </c>
      <c r="BG47" s="24">
        <f t="shared" ref="BG47" si="68">-BE35</f>
        <v>0</v>
      </c>
      <c r="BH47" s="24">
        <f t="shared" ref="BH47" si="69">-BF35</f>
        <v>0</v>
      </c>
      <c r="BI47" s="24">
        <f t="shared" ref="BI47" si="70">-BG35</f>
        <v>0</v>
      </c>
      <c r="BJ47" s="24">
        <f t="shared" ref="BJ47" si="71">-BH35</f>
        <v>0</v>
      </c>
      <c r="BK47" s="24">
        <f t="shared" ref="BK47" si="72">-BI35</f>
        <v>0</v>
      </c>
    </row>
    <row r="48" spans="2:63" x14ac:dyDescent="0.25">
      <c r="C48" t="s">
        <v>40</v>
      </c>
      <c r="E48" s="8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>
        <f>X43</f>
        <v>0</v>
      </c>
      <c r="AA48" s="24">
        <f t="shared" ref="AA48:BK48" si="73">Y43</f>
        <v>0</v>
      </c>
      <c r="AB48" s="24">
        <f t="shared" si="73"/>
        <v>0</v>
      </c>
      <c r="AC48" s="24">
        <f t="shared" si="73"/>
        <v>0</v>
      </c>
      <c r="AD48" s="24">
        <f t="shared" si="73"/>
        <v>0</v>
      </c>
      <c r="AE48" s="24">
        <f t="shared" si="73"/>
        <v>0</v>
      </c>
      <c r="AF48" s="24">
        <f t="shared" si="73"/>
        <v>0</v>
      </c>
      <c r="AG48" s="24">
        <f t="shared" si="73"/>
        <v>0</v>
      </c>
      <c r="AH48" s="24">
        <f t="shared" si="73"/>
        <v>0</v>
      </c>
      <c r="AI48" s="24">
        <f t="shared" si="73"/>
        <v>0</v>
      </c>
      <c r="AJ48" s="24">
        <f t="shared" si="73"/>
        <v>0</v>
      </c>
      <c r="AK48" s="24">
        <f t="shared" si="73"/>
        <v>0</v>
      </c>
      <c r="AL48" s="24">
        <f t="shared" si="73"/>
        <v>0</v>
      </c>
      <c r="AM48" s="24">
        <f t="shared" si="73"/>
        <v>0</v>
      </c>
      <c r="AN48" s="24">
        <f t="shared" ca="1" si="73"/>
        <v>5801.9613229525621</v>
      </c>
      <c r="AO48" s="24">
        <f t="shared" ca="1" si="73"/>
        <v>4313.445906457835</v>
      </c>
      <c r="AP48" s="24">
        <f t="shared" ca="1" si="73"/>
        <v>4203.671749153259</v>
      </c>
      <c r="AQ48" s="24">
        <f t="shared" ca="1" si="73"/>
        <v>2987.0040386751812</v>
      </c>
      <c r="AR48" s="24">
        <f t="shared" ca="1" si="73"/>
        <v>2535.5669797634023</v>
      </c>
      <c r="AS48" s="24">
        <f t="shared" ca="1" si="73"/>
        <v>2205.0347158364016</v>
      </c>
      <c r="AT48" s="24">
        <f t="shared" ca="1" si="73"/>
        <v>2652.0652657977862</v>
      </c>
      <c r="AU48" s="24">
        <f t="shared" ca="1" si="73"/>
        <v>1954.1558194529935</v>
      </c>
      <c r="AV48" s="24">
        <f t="shared" ca="1" si="73"/>
        <v>2546.5680952918424</v>
      </c>
      <c r="AW48" s="24">
        <f t="shared" ca="1" si="73"/>
        <v>3015.6890616049227</v>
      </c>
      <c r="AX48" s="24">
        <f t="shared" ca="1" si="73"/>
        <v>4753.7275255752438</v>
      </c>
      <c r="AY48" s="24">
        <f t="shared" ca="1" si="73"/>
        <v>5076.4664140727791</v>
      </c>
      <c r="AZ48" s="24">
        <f t="shared" ca="1" si="73"/>
        <v>5898.4971553652549</v>
      </c>
      <c r="BA48" s="24">
        <f t="shared" ca="1" si="73"/>
        <v>4385.2151010403186</v>
      </c>
      <c r="BB48" s="24">
        <f t="shared" ca="1" si="73"/>
        <v>4273.6144683314906</v>
      </c>
      <c r="BC48" s="24">
        <f t="shared" ca="1" si="73"/>
        <v>3036.7032533446863</v>
      </c>
      <c r="BD48" s="24">
        <f t="shared" ca="1" si="73"/>
        <v>2577.7549667913881</v>
      </c>
      <c r="BE48" s="24">
        <f t="shared" ca="1" si="73"/>
        <v>2241.7231475482881</v>
      </c>
      <c r="BF48" s="24">
        <f t="shared" ca="1" si="73"/>
        <v>2696.1916075287741</v>
      </c>
      <c r="BG48" s="24">
        <f t="shared" ca="1" si="73"/>
        <v>1986.6700070172433</v>
      </c>
      <c r="BH48" s="24">
        <f t="shared" ca="1" si="73"/>
        <v>2588.9391241889289</v>
      </c>
      <c r="BI48" s="24">
        <f t="shared" ca="1" si="73"/>
        <v>3065.8655515288051</v>
      </c>
      <c r="BJ48" s="24">
        <f t="shared" ca="1" si="73"/>
        <v>4832.8223382085353</v>
      </c>
      <c r="BK48" s="24">
        <f t="shared" ca="1" si="73"/>
        <v>5160.9311120808325</v>
      </c>
    </row>
    <row r="49" spans="1:63" x14ac:dyDescent="0.25">
      <c r="C49" s="21" t="s">
        <v>12</v>
      </c>
      <c r="D49" s="107">
        <f>0.6*0.03+0.4*0.075</f>
        <v>4.8000000000000001E-2</v>
      </c>
      <c r="E49" s="22"/>
      <c r="F49" s="24">
        <f t="shared" ref="F49:AM49" si="74">(F46+F47/2+F48/2)*(($D$49+1)^(1/12)-1)</f>
        <v>0</v>
      </c>
      <c r="G49" s="24">
        <f t="shared" ca="1" si="74"/>
        <v>-1.1484849680162548</v>
      </c>
      <c r="H49" s="24">
        <f t="shared" ca="1" si="74"/>
        <v>-12.056367874430046</v>
      </c>
      <c r="I49" s="24">
        <f t="shared" ca="1" si="74"/>
        <v>-37.647857360072614</v>
      </c>
      <c r="J49" s="24">
        <f t="shared" ca="1" si="74"/>
        <v>-66.75315112054426</v>
      </c>
      <c r="K49" s="24">
        <f t="shared" ca="1" si="74"/>
        <v>-95.695299715955912</v>
      </c>
      <c r="L49" s="24">
        <f t="shared" ca="1" si="74"/>
        <v>-123.98355483873559</v>
      </c>
      <c r="M49" s="24">
        <f t="shared" ca="1" si="74"/>
        <v>-151.36577734158232</v>
      </c>
      <c r="N49" s="24">
        <f t="shared" ca="1" si="74"/>
        <v>-184.75722682605422</v>
      </c>
      <c r="O49" s="24">
        <f t="shared" ca="1" si="74"/>
        <v>-230.32186073230713</v>
      </c>
      <c r="P49" s="24">
        <f t="shared" ca="1" si="74"/>
        <v>-273.23106169454894</v>
      </c>
      <c r="Q49" s="24">
        <f t="shared" ca="1" si="74"/>
        <v>-289.77022488727084</v>
      </c>
      <c r="R49" s="24">
        <f t="shared" ca="1" si="74"/>
        <v>-290.90456162071507</v>
      </c>
      <c r="S49" s="24">
        <f t="shared" ca="1" si="74"/>
        <v>-292.04333883739156</v>
      </c>
      <c r="T49" s="24">
        <f t="shared" ca="1" si="74"/>
        <v>-293.18657392004997</v>
      </c>
      <c r="U49" s="24">
        <f t="shared" ca="1" si="74"/>
        <v>-294.33428431948641</v>
      </c>
      <c r="V49" s="24">
        <f t="shared" ca="1" si="74"/>
        <v>-295.48648755481014</v>
      </c>
      <c r="W49" s="24">
        <f t="shared" ca="1" si="74"/>
        <v>-296.64320121371082</v>
      </c>
      <c r="X49" s="24">
        <f t="shared" ca="1" si="74"/>
        <v>-297.8044429527269</v>
      </c>
      <c r="Y49" s="24">
        <f t="shared" ca="1" si="74"/>
        <v>-298.9702304975155</v>
      </c>
      <c r="Z49" s="24">
        <f t="shared" ca="1" si="74"/>
        <v>-300.14058164312246</v>
      </c>
      <c r="AA49" s="24">
        <f t="shared" ca="1" si="74"/>
        <v>-301.31551425425442</v>
      </c>
      <c r="AB49" s="24">
        <f t="shared" ca="1" si="74"/>
        <v>-302.49504626555131</v>
      </c>
      <c r="AC49" s="24">
        <f t="shared" ca="1" si="74"/>
        <v>-303.67919568186005</v>
      </c>
      <c r="AD49" s="24">
        <f t="shared" ca="1" si="74"/>
        <v>-304.86798057850962</v>
      </c>
      <c r="AE49" s="24">
        <f t="shared" ca="1" si="74"/>
        <v>-306.06141910158658</v>
      </c>
      <c r="AF49" s="24">
        <f t="shared" ca="1" si="74"/>
        <v>-307.25952946821263</v>
      </c>
      <c r="AG49" s="24">
        <f t="shared" ca="1" si="74"/>
        <v>-308.46232996682204</v>
      </c>
      <c r="AH49" s="24">
        <f t="shared" ca="1" si="74"/>
        <v>-309.6698389574413</v>
      </c>
      <c r="AI49" s="24">
        <f t="shared" ca="1" si="74"/>
        <v>-310.88207487196917</v>
      </c>
      <c r="AJ49" s="24">
        <f t="shared" ca="1" si="74"/>
        <v>-312.09905621445813</v>
      </c>
      <c r="AK49" s="24">
        <f t="shared" ca="1" si="74"/>
        <v>-313.32080156139654</v>
      </c>
      <c r="AL49" s="24">
        <f t="shared" ca="1" si="74"/>
        <v>-314.54732956199263</v>
      </c>
      <c r="AM49" s="24">
        <f t="shared" ca="1" si="74"/>
        <v>-315.77865893845893</v>
      </c>
      <c r="AN49" s="24">
        <f ca="1">(AN46+AN47/2+AN48/2)*(($D$49+1)^(1/12)-1)</f>
        <v>-305.65860745286216</v>
      </c>
      <c r="AO49" s="24">
        <f t="shared" ref="AO49:AY49" ca="1" si="75">(AO46+AO47/2+AO48/2)*(($D$49+1)^(1/12)-1)</f>
        <v>-287.05621580684868</v>
      </c>
      <c r="AP49" s="24">
        <f t="shared" ca="1" si="75"/>
        <v>-271.50934137724755</v>
      </c>
      <c r="AQ49" s="24">
        <f t="shared" ca="1" si="75"/>
        <v>-258.49785676291174</v>
      </c>
      <c r="AR49" s="24">
        <f t="shared" ca="1" si="75"/>
        <v>-248.70042512100898</v>
      </c>
      <c r="AS49" s="24">
        <f t="shared" ca="1" si="75"/>
        <v>-240.39519191745387</v>
      </c>
      <c r="AT49" s="24">
        <f t="shared" ca="1" si="75"/>
        <v>-231.82942444489979</v>
      </c>
      <c r="AU49" s="24">
        <f t="shared" ca="1" si="75"/>
        <v>-223.72117157469711</v>
      </c>
      <c r="AV49" s="24">
        <f t="shared" ca="1" si="75"/>
        <v>-215.78766809026939</v>
      </c>
      <c r="AW49" s="24">
        <f t="shared" ca="1" si="75"/>
        <v>-205.74536498766997</v>
      </c>
      <c r="AX49" s="24">
        <f t="shared" ca="1" si="75"/>
        <v>-191.34366863492482</v>
      </c>
      <c r="AY49" s="24">
        <f t="shared" ca="1" si="75"/>
        <v>-172.85202791734727</v>
      </c>
      <c r="AZ49" s="24">
        <f t="shared" ref="AZ49:BK49" ca="1" si="76">(AZ46+AZ47/2+AZ48/2)*(($D$49+1)^(1/12)-1)</f>
        <v>-152.04733771792803</v>
      </c>
      <c r="BA49" s="24">
        <f t="shared" ca="1" si="76"/>
        <v>-132.51419415180879</v>
      </c>
      <c r="BB49" s="24">
        <f t="shared" ca="1" si="76"/>
        <v>-116.08497507552687</v>
      </c>
      <c r="BC49" s="24">
        <f t="shared" ca="1" si="76"/>
        <v>-102.23088943731018</v>
      </c>
      <c r="BD49" s="24">
        <f t="shared" ca="1" si="76"/>
        <v>-91.64188276225822</v>
      </c>
      <c r="BE49" s="24">
        <f t="shared" ca="1" si="76"/>
        <v>-82.567441875011554</v>
      </c>
      <c r="BF49" s="24">
        <f t="shared" ca="1" si="76"/>
        <v>-73.22566162344242</v>
      </c>
      <c r="BG49" s="24">
        <f t="shared" ca="1" si="76"/>
        <v>-64.346528452674519</v>
      </c>
      <c r="BH49" s="24">
        <f t="shared" ca="1" si="76"/>
        <v>-55.642562654281569</v>
      </c>
      <c r="BI49" s="24">
        <f t="shared" ca="1" si="76"/>
        <v>-44.792210688268732</v>
      </c>
      <c r="BJ49" s="24">
        <f t="shared" ca="1" si="76"/>
        <v>-29.507422675845785</v>
      </c>
      <c r="BK49" s="24">
        <f t="shared" ca="1" si="76"/>
        <v>-10.062120900739254</v>
      </c>
    </row>
    <row r="50" spans="1:63" x14ac:dyDescent="0.25">
      <c r="C50" t="s">
        <v>11</v>
      </c>
      <c r="E50">
        <f>SUM(E46:E49)</f>
        <v>0</v>
      </c>
      <c r="F50" s="25">
        <f>SUM(F46:F49)</f>
        <v>0</v>
      </c>
      <c r="G50" s="25">
        <f t="shared" ref="G50:AL50" ca="1" si="77">SUM(G46:G49)</f>
        <v>-587.91736523031238</v>
      </c>
      <c r="H50" s="25">
        <f t="shared" ca="1" si="77"/>
        <v>-5583.8203870064017</v>
      </c>
      <c r="I50" s="25">
        <f t="shared" ca="1" si="77"/>
        <v>-13688.377092366482</v>
      </c>
      <c r="J50" s="25">
        <f t="shared" ca="1" si="77"/>
        <v>-20483.020723487043</v>
      </c>
      <c r="K50" s="25">
        <f t="shared" ca="1" si="77"/>
        <v>-28504.06229520301</v>
      </c>
      <c r="L50" s="25">
        <f t="shared" ca="1" si="77"/>
        <v>-34963.973354041736</v>
      </c>
      <c r="M50" s="25">
        <f t="shared" ca="1" si="77"/>
        <v>-42521.210587383328</v>
      </c>
      <c r="N50" s="25">
        <f t="shared" ca="1" si="77"/>
        <v>-52057.286326209396</v>
      </c>
      <c r="O50" s="25">
        <f t="shared" ca="1" si="77"/>
        <v>-65846.060506941722</v>
      </c>
      <c r="P50" s="25">
        <f t="shared" ca="1" si="77"/>
        <v>-74022.801832636265</v>
      </c>
      <c r="Q50" s="25">
        <f t="shared" ca="1" si="77"/>
        <v>-74312.572057523532</v>
      </c>
      <c r="R50" s="25">
        <f t="shared" ca="1" si="77"/>
        <v>-74603.476619144247</v>
      </c>
      <c r="S50" s="25">
        <f t="shared" ca="1" si="77"/>
        <v>-74895.51995798164</v>
      </c>
      <c r="T50" s="25">
        <f t="shared" ca="1" si="77"/>
        <v>-75188.706531901684</v>
      </c>
      <c r="U50" s="25">
        <f t="shared" ca="1" si="77"/>
        <v>-75483.040816221168</v>
      </c>
      <c r="V50" s="25">
        <f t="shared" ca="1" si="77"/>
        <v>-75778.527303775976</v>
      </c>
      <c r="W50" s="25">
        <f t="shared" ca="1" si="77"/>
        <v>-76075.170504989685</v>
      </c>
      <c r="X50" s="25">
        <f t="shared" ca="1" si="77"/>
        <v>-76372.974947942406</v>
      </c>
      <c r="Y50" s="25">
        <f t="shared" ca="1" si="77"/>
        <v>-76671.945178439928</v>
      </c>
      <c r="Z50" s="25">
        <f t="shared" ca="1" si="77"/>
        <v>-76972.08576008305</v>
      </c>
      <c r="AA50" s="25">
        <f t="shared" ca="1" si="77"/>
        <v>-77273.401274337302</v>
      </c>
      <c r="AB50" s="25">
        <f t="shared" ca="1" si="77"/>
        <v>-77575.896320602857</v>
      </c>
      <c r="AC50" s="25">
        <f t="shared" ca="1" si="77"/>
        <v>-77879.57551628472</v>
      </c>
      <c r="AD50" s="25">
        <f t="shared" ca="1" si="77"/>
        <v>-78184.443496863227</v>
      </c>
      <c r="AE50" s="25">
        <f t="shared" ca="1" si="77"/>
        <v>-78490.504915964819</v>
      </c>
      <c r="AF50" s="25">
        <f t="shared" ca="1" si="77"/>
        <v>-78797.764445433029</v>
      </c>
      <c r="AG50" s="25">
        <f t="shared" ca="1" si="77"/>
        <v>-79106.226775399846</v>
      </c>
      <c r="AH50" s="25">
        <f t="shared" ca="1" si="77"/>
        <v>-79415.896614357291</v>
      </c>
      <c r="AI50" s="25">
        <f t="shared" ca="1" si="77"/>
        <v>-79726.778689229264</v>
      </c>
      <c r="AJ50" s="25">
        <f t="shared" ca="1" si="77"/>
        <v>-80038.877745443722</v>
      </c>
      <c r="AK50" s="25">
        <f t="shared" ca="1" si="77"/>
        <v>-80352.198547005115</v>
      </c>
      <c r="AL50" s="25">
        <f t="shared" ca="1" si="77"/>
        <v>-80666.745876567104</v>
      </c>
      <c r="AM50" s="25">
        <f t="shared" ref="AM50:AY50" ca="1" si="78">SUM(AM46:AM49)</f>
        <v>-80982.524535505567</v>
      </c>
      <c r="AN50" s="25">
        <f t="shared" ca="1" si="78"/>
        <v>-75486.221820005871</v>
      </c>
      <c r="AO50" s="25">
        <f t="shared" ca="1" si="78"/>
        <v>-71459.83212935488</v>
      </c>
      <c r="AP50" s="25">
        <f t="shared" ca="1" si="78"/>
        <v>-67527.669721578859</v>
      </c>
      <c r="AQ50" s="25">
        <f t="shared" ca="1" si="78"/>
        <v>-64799.163539666595</v>
      </c>
      <c r="AR50" s="25">
        <f t="shared" ca="1" si="78"/>
        <v>-62512.296985024201</v>
      </c>
      <c r="AS50" s="25">
        <f t="shared" ca="1" si="78"/>
        <v>-60547.657461105249</v>
      </c>
      <c r="AT50" s="25">
        <f t="shared" ca="1" si="78"/>
        <v>-58127.421619752364</v>
      </c>
      <c r="AU50" s="25">
        <f t="shared" ca="1" si="78"/>
        <v>-56396.986971874067</v>
      </c>
      <c r="AV50" s="25">
        <f t="shared" ca="1" si="78"/>
        <v>-54066.206544672496</v>
      </c>
      <c r="AW50" s="25">
        <f t="shared" ca="1" si="78"/>
        <v>-51256.262848055245</v>
      </c>
      <c r="AX50" s="25">
        <f t="shared" ca="1" si="78"/>
        <v>-46693.878991114922</v>
      </c>
      <c r="AY50" s="91">
        <f t="shared" ca="1" si="78"/>
        <v>-41790.264604959491</v>
      </c>
      <c r="AZ50" s="25">
        <f t="shared" ref="AZ50:BK50" ca="1" si="79">SUM(AZ46:AZ49)</f>
        <v>-36043.814787312163</v>
      </c>
      <c r="BA50" s="25">
        <f t="shared" ca="1" si="79"/>
        <v>-31791.113880423654</v>
      </c>
      <c r="BB50" s="25">
        <f t="shared" ca="1" si="79"/>
        <v>-27633.584387167688</v>
      </c>
      <c r="BC50" s="25">
        <f t="shared" ca="1" si="79"/>
        <v>-24699.11202326031</v>
      </c>
      <c r="BD50" s="25">
        <f t="shared" ca="1" si="79"/>
        <v>-22212.99893923118</v>
      </c>
      <c r="BE50" s="25">
        <f t="shared" ca="1" si="79"/>
        <v>-20053.843233557905</v>
      </c>
      <c r="BF50" s="25">
        <f t="shared" ca="1" si="79"/>
        <v>-17430.877287652573</v>
      </c>
      <c r="BG50" s="25">
        <f t="shared" ca="1" si="79"/>
        <v>-15508.553809088004</v>
      </c>
      <c r="BH50" s="25">
        <f t="shared" ca="1" si="79"/>
        <v>-12975.257247553358</v>
      </c>
      <c r="BI50" s="25">
        <f t="shared" ca="1" si="79"/>
        <v>-9954.1839067128221</v>
      </c>
      <c r="BJ50" s="25">
        <f t="shared" ca="1" si="79"/>
        <v>-5150.868991180133</v>
      </c>
      <c r="BK50" s="25">
        <f t="shared" ca="1" si="79"/>
        <v>-3.9770853277332208E-11</v>
      </c>
    </row>
    <row r="51" spans="1:63" x14ac:dyDescent="0.25"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</row>
    <row r="52" spans="1:63" s="12" customFormat="1" x14ac:dyDescent="0.25">
      <c r="A52" s="12" t="s">
        <v>28</v>
      </c>
      <c r="E52" s="36" t="s">
        <v>72</v>
      </c>
      <c r="F52" s="36" t="s">
        <v>80</v>
      </c>
      <c r="G52" s="36" t="s">
        <v>81</v>
      </c>
      <c r="H52" s="36" t="s">
        <v>82</v>
      </c>
      <c r="I52" s="36" t="s">
        <v>83</v>
      </c>
      <c r="J52" s="36" t="s">
        <v>84</v>
      </c>
      <c r="K52" s="36" t="s">
        <v>85</v>
      </c>
      <c r="L52" s="36" t="s">
        <v>86</v>
      </c>
      <c r="M52" s="36" t="s">
        <v>60</v>
      </c>
      <c r="N52" s="36" t="s">
        <v>59</v>
      </c>
      <c r="O52" s="29"/>
      <c r="P52" s="29"/>
      <c r="Q52" s="29"/>
      <c r="R52" s="36"/>
      <c r="S52" s="36"/>
      <c r="T52" s="36"/>
      <c r="U52" s="36"/>
      <c r="V52" s="36"/>
      <c r="W52" s="36"/>
      <c r="X52" s="36"/>
      <c r="Y52" s="36"/>
      <c r="Z52" s="36"/>
      <c r="AA52" s="29"/>
      <c r="AB52" s="29"/>
      <c r="AC52" s="29"/>
      <c r="AD52" s="36"/>
      <c r="AE52" s="36"/>
      <c r="AF52" s="36"/>
      <c r="AG52" s="36"/>
      <c r="AH52" s="36"/>
      <c r="AI52" s="36"/>
      <c r="AJ52" s="36"/>
      <c r="AK52" s="36"/>
      <c r="AL52" s="36"/>
      <c r="AM52" s="29"/>
      <c r="AN52" s="29"/>
      <c r="AO52" s="29"/>
      <c r="AP52" s="36"/>
      <c r="AQ52" s="36"/>
      <c r="AR52" s="36"/>
      <c r="AS52" s="36"/>
      <c r="AT52" s="36"/>
      <c r="AU52" s="36"/>
      <c r="AV52" s="36"/>
      <c r="AW52" s="36"/>
      <c r="AX52" s="36"/>
      <c r="AY52" s="29"/>
    </row>
    <row r="53" spans="1:63" x14ac:dyDescent="0.25">
      <c r="B53" s="3" t="s">
        <v>26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>
        <f ca="1">OFFSET(Data!$S$87,MONTH(AK$8),,1,1)</f>
        <v>0.21313211587161063</v>
      </c>
      <c r="AM53" s="5">
        <f ca="1">OFFSET(Data!$S$87,MONTH(AL$8),,1,1)</f>
        <v>1.4099771468571781E-2</v>
      </c>
      <c r="AN53" s="5">
        <f ca="1">OFFSET(Data!$S$87,MONTH(AM$8),,1,1)</f>
        <v>0.15384076918325751</v>
      </c>
      <c r="AO53" s="5">
        <f ca="1">OFFSET(Data!$S$87,MONTH(AN$8),,1,1)</f>
        <v>1.5372959173169175E-2</v>
      </c>
      <c r="AP53" s="5">
        <f ca="1">OFFSET(Data!$S$87,MONTH(AO$8),,1,1)</f>
        <v>0.10881225422577258</v>
      </c>
      <c r="AQ53" s="5">
        <f ca="1">OFFSET(Data!$S$87,MONTH(AP$8),,1,1)</f>
        <v>2.2779848057482861E-2</v>
      </c>
      <c r="AR53" s="5">
        <f ca="1">OFFSET(Data!$S$87,MONTH(AQ$8),,1,1)</f>
        <v>0.11960223178439809</v>
      </c>
      <c r="AS53" s="5">
        <f ca="1">OFFSET(Data!$S$87,MONTH(AR$8),,1,1)</f>
        <v>2.0290296679088344E-2</v>
      </c>
      <c r="AT53" s="5">
        <f ca="1">OFFSET(Data!$S$87,MONTH(AS$8),,1,1)</f>
        <v>0.10587058121101069</v>
      </c>
      <c r="AU53" s="5">
        <f ca="1">OFFSET(Data!$S$87,MONTH(AT$8),,1,1)</f>
        <v>2.0588416956620205E-2</v>
      </c>
      <c r="AV53" s="5">
        <f ca="1">OFFSET(Data!$S$87,MONTH(AU$8),,1,1)</f>
        <v>0.18259949352494287</v>
      </c>
      <c r="AW53" s="5">
        <f ca="1">OFFSET(Data!$S$87,MONTH(AV$8),,1,1)</f>
        <v>2.3011261864075271E-2</v>
      </c>
      <c r="AX53" s="5">
        <f ca="1">AL53</f>
        <v>0.21313211587161063</v>
      </c>
      <c r="AY53" s="5">
        <f t="shared" ref="AY53" ca="1" si="80">AM53</f>
        <v>1.4099771468571781E-2</v>
      </c>
      <c r="AZ53" s="5">
        <f t="shared" ref="AZ53" ca="1" si="81">AN53</f>
        <v>0.15384076918325751</v>
      </c>
      <c r="BA53" s="5">
        <f t="shared" ref="BA53" ca="1" si="82">AO53</f>
        <v>1.5372959173169175E-2</v>
      </c>
      <c r="BB53" s="5">
        <f t="shared" ref="BB53" ca="1" si="83">AP53</f>
        <v>0.10881225422577258</v>
      </c>
      <c r="BC53" s="5">
        <f t="shared" ref="BC53" ca="1" si="84">AQ53</f>
        <v>2.2779848057482861E-2</v>
      </c>
      <c r="BD53" s="5">
        <f t="shared" ref="BD53" ca="1" si="85">AR53</f>
        <v>0.11960223178439809</v>
      </c>
      <c r="BE53" s="5">
        <f t="shared" ref="BE53" ca="1" si="86">AS53</f>
        <v>2.0290296679088344E-2</v>
      </c>
      <c r="BF53" s="5">
        <f t="shared" ref="BF53" ca="1" si="87">AT53</f>
        <v>0.10587058121101069</v>
      </c>
      <c r="BG53" s="5">
        <f t="shared" ref="BG53" ca="1" si="88">AU53</f>
        <v>2.0588416956620205E-2</v>
      </c>
      <c r="BH53" s="5">
        <f t="shared" ref="BH53" ca="1" si="89">AV53</f>
        <v>0.18259949352494287</v>
      </c>
      <c r="BI53" s="5">
        <f t="shared" ref="BI53" ca="1" si="90">AW53</f>
        <v>2.3011261864075271E-2</v>
      </c>
    </row>
    <row r="54" spans="1:63" x14ac:dyDescent="0.25">
      <c r="C54" t="s">
        <v>13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>
        <f ca="1">'Load Analysis kWh'!$M$21*AL53</f>
        <v>153478.08558924505</v>
      </c>
      <c r="AM54" s="7">
        <f ca="1">'Load Analysis kWh'!$M$21*AM53</f>
        <v>10153.35452093873</v>
      </c>
      <c r="AN54" s="7">
        <f ca="1">'Load Analysis kWh'!$M$21*AN53</f>
        <v>110781.92811657963</v>
      </c>
      <c r="AO54" s="7">
        <f ca="1">'Load Analysis kWh'!$M$21*AO53</f>
        <v>11070.186837355486</v>
      </c>
      <c r="AP54" s="7">
        <f ca="1">'Load Analysis kWh'!$M$21*AP53</f>
        <v>78356.546121289211</v>
      </c>
      <c r="AQ54" s="7">
        <f ca="1">'Load Analysis kWh'!$M$21*AQ53</f>
        <v>16403.944828204323</v>
      </c>
      <c r="AR54" s="7">
        <f ca="1">'Load Analysis kWh'!$M$21*AR53</f>
        <v>86126.492440624483</v>
      </c>
      <c r="AS54" s="7">
        <f ca="1">'Load Analysis kWh'!$M$21*AS53</f>
        <v>14611.199619583462</v>
      </c>
      <c r="AT54" s="7">
        <f ca="1">'Load Analysis kWh'!$M$21*AT53</f>
        <v>76238.224624367707</v>
      </c>
      <c r="AU54" s="7">
        <f ca="1">'Load Analysis kWh'!$M$21*AU53</f>
        <v>14825.878337916492</v>
      </c>
      <c r="AV54" s="7">
        <f ca="1">'Load Analysis kWh'!$M$21*AV53</f>
        <v>131491.30801411488</v>
      </c>
      <c r="AW54" s="7">
        <f ca="1">'Load Analysis kWh'!$M$21*AW53</f>
        <v>16570.587700722506</v>
      </c>
      <c r="AX54" s="7">
        <f ca="1">'Load Analysis kWh'!$M$22*AX53</f>
        <v>163157.4535386764</v>
      </c>
      <c r="AY54" s="7">
        <f ca="1">'Load Analysis kWh'!$M$22*AY53</f>
        <v>10793.693849852505</v>
      </c>
      <c r="AZ54" s="7">
        <f ca="1">'Load Analysis kWh'!$M$22*AZ53</f>
        <v>117768.58709314278</v>
      </c>
      <c r="BA54" s="7">
        <f ca="1">'Load Analysis kWh'!$M$22*BA53</f>
        <v>11768.34782402878</v>
      </c>
      <c r="BB54" s="7">
        <f ca="1">'Load Analysis kWh'!$M$22*BB53</f>
        <v>83298.240814982302</v>
      </c>
      <c r="BC54" s="7">
        <f ca="1">'Load Analysis kWh'!$M$22*BC53</f>
        <v>17438.488732011574</v>
      </c>
      <c r="BD54" s="7">
        <f ca="1">'Load Analysis kWh'!$M$22*BD53</f>
        <v>91558.21259354474</v>
      </c>
      <c r="BE54" s="7">
        <f ca="1">'Load Analysis kWh'!$M$22*BE53</f>
        <v>15532.680864007129</v>
      </c>
      <c r="BF54" s="7">
        <f ca="1">'Load Analysis kWh'!$M$22*BF53</f>
        <v>81046.323612034277</v>
      </c>
      <c r="BG54" s="7">
        <f ca="1">'Load Analysis kWh'!$M$22*BG53</f>
        <v>15760.898676847886</v>
      </c>
      <c r="BH54" s="7">
        <f ca="1">'Load Analysis kWh'!$M$22*BH53</f>
        <v>139784.04080091097</v>
      </c>
      <c r="BI54" s="7">
        <f ca="1">'Load Analysis kWh'!$M$22*BI53</f>
        <v>17615.641233139344</v>
      </c>
    </row>
    <row r="55" spans="1:63" x14ac:dyDescent="0.25"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</row>
    <row r="56" spans="1:63" x14ac:dyDescent="0.25">
      <c r="C56" t="s">
        <v>30</v>
      </c>
      <c r="E56" s="7">
        <f ca="1">OFFSET(Data!$D$62,E$12,,1,1)</f>
        <v>62</v>
      </c>
      <c r="F56" s="7">
        <f ca="1">OFFSET(Data!$D$62,F$12,,1,1)</f>
        <v>11</v>
      </c>
      <c r="G56" s="7">
        <f ca="1">OFFSET(Data!$D$62,G$12,,1,1)</f>
        <v>61</v>
      </c>
      <c r="H56" s="7">
        <f ca="1">OFFSET(Data!$D$62,H$12,,1,1)</f>
        <v>11</v>
      </c>
      <c r="I56" s="7">
        <f ca="1">OFFSET(Data!$D$62,I$12,,1,1)</f>
        <v>61</v>
      </c>
      <c r="J56" s="7">
        <f ca="1">OFFSET(Data!$D$62,J$12,,1,1)</f>
        <v>13</v>
      </c>
      <c r="K56" s="7">
        <f ca="1">OFFSET(Data!$D$62,K$12,,1,1)</f>
        <v>61</v>
      </c>
      <c r="L56" s="7">
        <f ca="1">OFFSET(Data!$D$62,L$12,,1,1)</f>
        <v>11</v>
      </c>
      <c r="M56" s="7">
        <f ca="1">OFFSET(Data!$D$62,M$12,,1,1)</f>
        <v>59</v>
      </c>
      <c r="N56" s="7">
        <f ca="1">OFFSET(Data!$D$62,N$12,,1,1)</f>
        <v>14</v>
      </c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</row>
    <row r="57" spans="1:63" x14ac:dyDescent="0.25">
      <c r="C57" t="s">
        <v>31</v>
      </c>
      <c r="E57" s="7">
        <f ca="1">OFFSET(Data!$H$62,E$12,,1,1)</f>
        <v>86222</v>
      </c>
      <c r="F57" s="7">
        <f ca="1">OFFSET(Data!$H$62,F$12,,1,1)</f>
        <v>9290</v>
      </c>
      <c r="G57" s="7">
        <f ca="1">OFFSET(Data!$H$62,G$12,,1,1)</f>
        <v>66920</v>
      </c>
      <c r="H57" s="7">
        <f ca="1">OFFSET(Data!$H$62,H$12,,1,1)</f>
        <v>13336</v>
      </c>
      <c r="I57" s="7">
        <f ca="1">OFFSET(Data!$H$62,I$12,,1,1)</f>
        <v>73670</v>
      </c>
      <c r="J57" s="7">
        <f ca="1">OFFSET(Data!$H$62,J$12,,1,1)</f>
        <v>12282</v>
      </c>
      <c r="K57" s="7">
        <f ca="1">OFFSET(Data!$H$62,K$12,,1,1)</f>
        <v>63116</v>
      </c>
      <c r="L57" s="7">
        <f ca="1">OFFSET(Data!$H$62,L$12,,1,1)</f>
        <v>10231</v>
      </c>
      <c r="M57" s="7">
        <f ca="1">OFFSET(Data!$H$62,M$12,,1,1)</f>
        <v>100559</v>
      </c>
      <c r="N57" s="7">
        <f ca="1">OFFSET(Data!$H$62,N$12,,1,1)</f>
        <v>12740</v>
      </c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</row>
    <row r="58" spans="1:63" x14ac:dyDescent="0.25">
      <c r="C58" t="s">
        <v>51</v>
      </c>
      <c r="E58" s="30">
        <f ca="1">E56*100*2</f>
        <v>12400</v>
      </c>
      <c r="F58" s="30">
        <f t="shared" ref="F58:N58" ca="1" si="91">F56*100*2</f>
        <v>2200</v>
      </c>
      <c r="G58" s="30">
        <f t="shared" ca="1" si="91"/>
        <v>12200</v>
      </c>
      <c r="H58" s="30">
        <f t="shared" ca="1" si="91"/>
        <v>2200</v>
      </c>
      <c r="I58" s="30">
        <f t="shared" ca="1" si="91"/>
        <v>12200</v>
      </c>
      <c r="J58" s="30">
        <f t="shared" ca="1" si="91"/>
        <v>2600</v>
      </c>
      <c r="K58" s="30">
        <f t="shared" ca="1" si="91"/>
        <v>12200</v>
      </c>
      <c r="L58" s="30">
        <f t="shared" ca="1" si="91"/>
        <v>2200</v>
      </c>
      <c r="M58" s="30">
        <f t="shared" ca="1" si="91"/>
        <v>11800</v>
      </c>
      <c r="N58" s="30">
        <f t="shared" ca="1" si="91"/>
        <v>2800</v>
      </c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</row>
    <row r="59" spans="1:63" x14ac:dyDescent="0.25">
      <c r="C59" t="s">
        <v>50</v>
      </c>
      <c r="E59" s="30">
        <f t="shared" ref="E59:N59" ca="1" si="92">E57-E58</f>
        <v>73822</v>
      </c>
      <c r="F59" s="30">
        <f t="shared" ca="1" si="92"/>
        <v>7090</v>
      </c>
      <c r="G59" s="30">
        <f t="shared" ca="1" si="92"/>
        <v>54720</v>
      </c>
      <c r="H59" s="30">
        <f t="shared" ca="1" si="92"/>
        <v>11136</v>
      </c>
      <c r="I59" s="30">
        <f t="shared" ca="1" si="92"/>
        <v>61470</v>
      </c>
      <c r="J59" s="30">
        <f t="shared" ca="1" si="92"/>
        <v>9682</v>
      </c>
      <c r="K59" s="30">
        <f t="shared" ca="1" si="92"/>
        <v>50916</v>
      </c>
      <c r="L59" s="30">
        <f t="shared" ca="1" si="92"/>
        <v>8031</v>
      </c>
      <c r="M59" s="30">
        <f t="shared" ca="1" si="92"/>
        <v>88759</v>
      </c>
      <c r="N59" s="30">
        <f t="shared" ca="1" si="92"/>
        <v>9940</v>
      </c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</row>
    <row r="60" spans="1:63" x14ac:dyDescent="0.25">
      <c r="E60" s="30"/>
      <c r="F60" s="30"/>
      <c r="G60" s="30"/>
      <c r="H60" s="30"/>
      <c r="I60" s="30"/>
      <c r="J60" s="30"/>
      <c r="K60" s="30"/>
      <c r="L60" s="30"/>
      <c r="M60" s="30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</row>
    <row r="61" spans="1:63" x14ac:dyDescent="0.25">
      <c r="B61" s="3" t="s">
        <v>37</v>
      </c>
      <c r="D61" t="s">
        <v>122</v>
      </c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</row>
    <row r="62" spans="1:63" x14ac:dyDescent="0.25">
      <c r="C62" t="s">
        <v>142</v>
      </c>
      <c r="D62">
        <v>16.87</v>
      </c>
      <c r="E62" s="42">
        <f ca="1">$D62*E56*2</f>
        <v>2091.88</v>
      </c>
      <c r="F62" s="42">
        <f t="shared" ref="F62:N62" ca="1" si="93">$D62*F56*2</f>
        <v>371.14000000000004</v>
      </c>
      <c r="G62" s="42">
        <f t="shared" ca="1" si="93"/>
        <v>2058.1400000000003</v>
      </c>
      <c r="H62" s="42">
        <f t="shared" ca="1" si="93"/>
        <v>371.14000000000004</v>
      </c>
      <c r="I62" s="42">
        <f t="shared" ca="1" si="93"/>
        <v>2058.1400000000003</v>
      </c>
      <c r="J62" s="42">
        <f t="shared" ca="1" si="93"/>
        <v>438.62</v>
      </c>
      <c r="K62" s="42">
        <f t="shared" ca="1" si="93"/>
        <v>2058.1400000000003</v>
      </c>
      <c r="L62" s="42">
        <f t="shared" ca="1" si="93"/>
        <v>371.14000000000004</v>
      </c>
      <c r="M62" s="42">
        <f t="shared" ca="1" si="93"/>
        <v>1990.66</v>
      </c>
      <c r="N62" s="42">
        <f t="shared" ca="1" si="93"/>
        <v>472.36</v>
      </c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</row>
    <row r="63" spans="1:63" x14ac:dyDescent="0.25">
      <c r="C63" t="s">
        <v>32</v>
      </c>
      <c r="D63" s="92">
        <v>0.18588099999999999</v>
      </c>
      <c r="E63" s="42">
        <f t="shared" ref="E63:M63" ca="1" si="94">$D63*E58</f>
        <v>2304.9243999999999</v>
      </c>
      <c r="F63" s="7">
        <f t="shared" ca="1" si="94"/>
        <v>408.93819999999999</v>
      </c>
      <c r="G63" s="7">
        <f t="shared" ca="1" si="94"/>
        <v>2267.7482</v>
      </c>
      <c r="H63" s="7">
        <f t="shared" ca="1" si="94"/>
        <v>408.93819999999999</v>
      </c>
      <c r="I63" s="7">
        <f t="shared" ca="1" si="94"/>
        <v>2267.7482</v>
      </c>
      <c r="J63" s="7">
        <f t="shared" ca="1" si="94"/>
        <v>483.29059999999998</v>
      </c>
      <c r="K63" s="7">
        <f t="shared" ca="1" si="94"/>
        <v>2267.7482</v>
      </c>
      <c r="L63" s="7">
        <f t="shared" ca="1" si="94"/>
        <v>408.93819999999999</v>
      </c>
      <c r="M63" s="7">
        <f t="shared" ca="1" si="94"/>
        <v>2193.3957999999998</v>
      </c>
      <c r="N63" s="7">
        <f t="shared" ref="N63" ca="1" si="95">$D63*N58</f>
        <v>520.46679999999992</v>
      </c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</row>
    <row r="64" spans="1:63" x14ac:dyDescent="0.25">
      <c r="C64" t="s">
        <v>33</v>
      </c>
      <c r="D64" s="92">
        <v>0.1668</v>
      </c>
      <c r="E64" s="42">
        <f t="shared" ref="E64:M64" ca="1" si="96">$D64*E59</f>
        <v>12313.509599999999</v>
      </c>
      <c r="F64" s="7">
        <f t="shared" ca="1" si="96"/>
        <v>1182.6120000000001</v>
      </c>
      <c r="G64" s="7">
        <f t="shared" ca="1" si="96"/>
        <v>9127.2960000000003</v>
      </c>
      <c r="H64" s="7">
        <f t="shared" ca="1" si="96"/>
        <v>1857.4848</v>
      </c>
      <c r="I64" s="7">
        <f t="shared" ca="1" si="96"/>
        <v>10253.196</v>
      </c>
      <c r="J64" s="7">
        <f t="shared" ca="1" si="96"/>
        <v>1614.9576</v>
      </c>
      <c r="K64" s="7">
        <f t="shared" ca="1" si="96"/>
        <v>8492.7888000000003</v>
      </c>
      <c r="L64" s="7">
        <f t="shared" ca="1" si="96"/>
        <v>1339.5708</v>
      </c>
      <c r="M64" s="7">
        <f t="shared" ca="1" si="96"/>
        <v>14805.001200000001</v>
      </c>
      <c r="N64" s="7">
        <f t="shared" ref="N64" ca="1" si="97">$D64*N59</f>
        <v>1657.992</v>
      </c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</row>
    <row r="65" spans="2:38" x14ac:dyDescent="0.25">
      <c r="F65" s="7"/>
      <c r="G65" s="7"/>
      <c r="H65" s="7"/>
      <c r="I65" s="7"/>
      <c r="J65" s="7"/>
      <c r="K65" s="7"/>
      <c r="L65" s="7"/>
      <c r="M65" s="7"/>
      <c r="N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</row>
    <row r="66" spans="2:38" x14ac:dyDescent="0.25">
      <c r="C66" t="s">
        <v>34</v>
      </c>
      <c r="E66" s="1">
        <f t="shared" ref="E66" ca="1" si="98">SUM(E62:E65)</f>
        <v>16710.313999999998</v>
      </c>
      <c r="F66" s="30">
        <f t="shared" ref="F66" ca="1" si="99">SUM(F62:F65)</f>
        <v>1962.6902</v>
      </c>
      <c r="G66" s="30">
        <f t="shared" ref="G66" ca="1" si="100">SUM(G62:G65)</f>
        <v>13453.1842</v>
      </c>
      <c r="H66" s="30">
        <f t="shared" ref="H66" ca="1" si="101">SUM(H62:H65)</f>
        <v>2637.5630000000001</v>
      </c>
      <c r="I66" s="30">
        <f t="shared" ref="I66" ca="1" si="102">SUM(I62:I65)</f>
        <v>14579.084200000001</v>
      </c>
      <c r="J66" s="30">
        <f t="shared" ref="J66" ca="1" si="103">SUM(J62:J65)</f>
        <v>2536.8681999999999</v>
      </c>
      <c r="K66" s="30">
        <f t="shared" ref="K66" ca="1" si="104">SUM(K62:K65)</f>
        <v>12818.677</v>
      </c>
      <c r="L66" s="30">
        <f t="shared" ref="L66" ca="1" si="105">SUM(L62:L65)</f>
        <v>2119.6489999999999</v>
      </c>
      <c r="M66" s="30">
        <f t="shared" ref="M66:N66" ca="1" si="106">SUM(M62:M65)</f>
        <v>18989.057000000001</v>
      </c>
      <c r="N66" s="30">
        <f t="shared" ca="1" si="106"/>
        <v>2650.8188</v>
      </c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</row>
    <row r="67" spans="2:38" x14ac:dyDescent="0.25">
      <c r="C67" t="s">
        <v>35</v>
      </c>
      <c r="E67" s="5">
        <f>(0+3)/(31+30)</f>
        <v>4.9180327868852458E-2</v>
      </c>
      <c r="F67" s="5">
        <f>(3+31)/(30+31)</f>
        <v>0.55737704918032782</v>
      </c>
      <c r="G67" s="5">
        <v>1</v>
      </c>
      <c r="H67" s="5">
        <v>1</v>
      </c>
      <c r="I67" s="5">
        <v>1</v>
      </c>
      <c r="J67" s="5">
        <v>1</v>
      </c>
      <c r="K67" s="5">
        <v>1</v>
      </c>
      <c r="L67" s="5">
        <v>1</v>
      </c>
      <c r="M67" s="5">
        <v>1</v>
      </c>
      <c r="N67" s="5">
        <f>(31+0)/(31+31)</f>
        <v>0.5</v>
      </c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</row>
    <row r="68" spans="2:38" x14ac:dyDescent="0.25">
      <c r="E68" s="7">
        <f t="shared" ref="E68" ca="1" si="107">E67*E66</f>
        <v>821.81872131147531</v>
      </c>
      <c r="F68" s="7">
        <f t="shared" ref="F68" ca="1" si="108">F67*F66</f>
        <v>1093.9584721311473</v>
      </c>
      <c r="G68" s="7">
        <f t="shared" ref="G68" ca="1" si="109">G67*G66</f>
        <v>13453.1842</v>
      </c>
      <c r="H68" s="7">
        <f t="shared" ref="H68" ca="1" si="110">H67*H66</f>
        <v>2637.5630000000001</v>
      </c>
      <c r="I68" s="7">
        <f t="shared" ref="I68" ca="1" si="111">I67*I66</f>
        <v>14579.084200000001</v>
      </c>
      <c r="J68" s="7">
        <f t="shared" ref="J68" ca="1" si="112">J67*J66</f>
        <v>2536.8681999999999</v>
      </c>
      <c r="K68" s="7">
        <f t="shared" ref="K68" ca="1" si="113">K67*K66</f>
        <v>12818.677</v>
      </c>
      <c r="L68" s="7">
        <f t="shared" ref="L68" ca="1" si="114">L67*L66</f>
        <v>2119.6489999999999</v>
      </c>
      <c r="M68" s="7">
        <f t="shared" ref="M68:N68" ca="1" si="115">M67*M66</f>
        <v>18989.057000000001</v>
      </c>
      <c r="N68" s="7">
        <f t="shared" ca="1" si="115"/>
        <v>1325.4094</v>
      </c>
      <c r="O68" s="7"/>
      <c r="P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</row>
    <row r="69" spans="2:38" x14ac:dyDescent="0.25">
      <c r="E69" s="7"/>
      <c r="F69" s="7"/>
      <c r="G69" s="7"/>
      <c r="H69" s="7"/>
      <c r="I69" s="7"/>
      <c r="J69" s="7"/>
      <c r="K69" s="7"/>
      <c r="L69" s="7"/>
      <c r="M69" s="7"/>
      <c r="N69" s="6"/>
      <c r="O69" s="7"/>
      <c r="P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</row>
    <row r="70" spans="2:38" x14ac:dyDescent="0.25">
      <c r="B70" s="3" t="s">
        <v>38</v>
      </c>
      <c r="D70" t="s">
        <v>121</v>
      </c>
      <c r="P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</row>
    <row r="71" spans="2:38" x14ac:dyDescent="0.25">
      <c r="C71" t="s">
        <v>142</v>
      </c>
      <c r="D71">
        <v>18.36</v>
      </c>
      <c r="E71" s="7">
        <f ca="1">$D71*E56*2</f>
        <v>2276.64</v>
      </c>
      <c r="F71" s="7">
        <f t="shared" ref="F71:N71" ca="1" si="116">$D71*F56*2</f>
        <v>403.91999999999996</v>
      </c>
      <c r="G71" s="7">
        <f t="shared" ca="1" si="116"/>
        <v>2239.92</v>
      </c>
      <c r="H71" s="7">
        <f t="shared" ca="1" si="116"/>
        <v>403.91999999999996</v>
      </c>
      <c r="I71" s="7">
        <f t="shared" ca="1" si="116"/>
        <v>2239.92</v>
      </c>
      <c r="J71" s="7">
        <f t="shared" ca="1" si="116"/>
        <v>477.36</v>
      </c>
      <c r="K71" s="7">
        <f t="shared" ca="1" si="116"/>
        <v>2239.92</v>
      </c>
      <c r="L71" s="7">
        <f t="shared" ca="1" si="116"/>
        <v>403.91999999999996</v>
      </c>
      <c r="M71" s="7">
        <f t="shared" ca="1" si="116"/>
        <v>2166.48</v>
      </c>
      <c r="N71" s="7">
        <f t="shared" ca="1" si="116"/>
        <v>514.07999999999993</v>
      </c>
      <c r="O71" s="7"/>
      <c r="P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</row>
    <row r="72" spans="2:38" x14ac:dyDescent="0.25">
      <c r="C72" t="s">
        <v>32</v>
      </c>
      <c r="D72" s="92">
        <v>0.20228199999999999</v>
      </c>
      <c r="E72" s="7">
        <f ca="1">$D72*E58</f>
        <v>2508.2968000000001</v>
      </c>
      <c r="F72" s="7">
        <f t="shared" ref="F72:M72" ca="1" si="117">$D72*F58</f>
        <v>445.0204</v>
      </c>
      <c r="G72" s="7">
        <f t="shared" ca="1" si="117"/>
        <v>2467.8404</v>
      </c>
      <c r="H72" s="7">
        <f t="shared" ca="1" si="117"/>
        <v>445.0204</v>
      </c>
      <c r="I72" s="7">
        <f t="shared" ca="1" si="117"/>
        <v>2467.8404</v>
      </c>
      <c r="J72" s="7">
        <f t="shared" ca="1" si="117"/>
        <v>525.93319999999994</v>
      </c>
      <c r="K72" s="7">
        <f t="shared" ca="1" si="117"/>
        <v>2467.8404</v>
      </c>
      <c r="L72" s="7">
        <f t="shared" ca="1" si="117"/>
        <v>445.0204</v>
      </c>
      <c r="M72" s="7">
        <f t="shared" ca="1" si="117"/>
        <v>2386.9276</v>
      </c>
      <c r="N72" s="7">
        <f t="shared" ref="N72" ca="1" si="118">$D72*N58</f>
        <v>566.38959999999997</v>
      </c>
      <c r="O72" s="7"/>
      <c r="P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</row>
    <row r="73" spans="2:38" x14ac:dyDescent="0.25">
      <c r="C73" t="s">
        <v>33</v>
      </c>
      <c r="D73" s="92">
        <v>0.18151900000000001</v>
      </c>
      <c r="E73" s="7">
        <f ca="1">$D73*E59</f>
        <v>13400.095618000001</v>
      </c>
      <c r="F73" s="7">
        <f t="shared" ref="F73:M73" ca="1" si="119">$D73*F59</f>
        <v>1286.9697100000001</v>
      </c>
      <c r="G73" s="7">
        <f t="shared" ca="1" si="119"/>
        <v>9932.7196800000002</v>
      </c>
      <c r="H73" s="7">
        <f t="shared" ca="1" si="119"/>
        <v>2021.3955840000001</v>
      </c>
      <c r="I73" s="7">
        <f t="shared" ca="1" si="119"/>
        <v>11157.972930000002</v>
      </c>
      <c r="J73" s="7">
        <f t="shared" ca="1" si="119"/>
        <v>1757.4669580000002</v>
      </c>
      <c r="K73" s="7">
        <f t="shared" ca="1" si="119"/>
        <v>9242.2214039999999</v>
      </c>
      <c r="L73" s="7">
        <f t="shared" ca="1" si="119"/>
        <v>1457.7790890000001</v>
      </c>
      <c r="M73" s="7">
        <f t="shared" ca="1" si="119"/>
        <v>16111.444921000002</v>
      </c>
      <c r="N73" s="7">
        <f t="shared" ref="N73" ca="1" si="120">$D73*N59</f>
        <v>1804.2988600000001</v>
      </c>
      <c r="O73" s="7"/>
      <c r="P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</row>
    <row r="74" spans="2:38" x14ac:dyDescent="0.25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</row>
    <row r="75" spans="2:38" x14ac:dyDescent="0.25">
      <c r="C75" t="s">
        <v>34</v>
      </c>
      <c r="E75" s="7">
        <f ca="1">SUM(E71:E74)</f>
        <v>18185.032418000003</v>
      </c>
      <c r="F75" s="7">
        <f t="shared" ref="F75:M75" ca="1" si="121">SUM(F71:F74)</f>
        <v>2135.9101099999998</v>
      </c>
      <c r="G75" s="7">
        <f t="shared" ca="1" si="121"/>
        <v>14640.480080000001</v>
      </c>
      <c r="H75" s="7">
        <f t="shared" ca="1" si="121"/>
        <v>2870.3359840000003</v>
      </c>
      <c r="I75" s="7">
        <f t="shared" ca="1" si="121"/>
        <v>15865.733330000003</v>
      </c>
      <c r="J75" s="7">
        <f t="shared" ca="1" si="121"/>
        <v>2760.760158</v>
      </c>
      <c r="K75" s="7">
        <f t="shared" ca="1" si="121"/>
        <v>13949.981803999999</v>
      </c>
      <c r="L75" s="7">
        <f t="shared" ca="1" si="121"/>
        <v>2306.7194890000001</v>
      </c>
      <c r="M75" s="7">
        <f t="shared" ca="1" si="121"/>
        <v>20664.852521000001</v>
      </c>
      <c r="N75" s="7">
        <f t="shared" ref="N75" ca="1" si="122">SUM(N71:N74)</f>
        <v>2884.7684600000002</v>
      </c>
      <c r="O75" s="7"/>
      <c r="P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</row>
    <row r="76" spans="2:38" x14ac:dyDescent="0.25">
      <c r="C76" t="s">
        <v>35</v>
      </c>
      <c r="E76" s="9">
        <f>E67</f>
        <v>4.9180327868852458E-2</v>
      </c>
      <c r="F76" s="9">
        <f t="shared" ref="F76:M76" si="123">F67</f>
        <v>0.55737704918032782</v>
      </c>
      <c r="G76" s="9">
        <f t="shared" si="123"/>
        <v>1</v>
      </c>
      <c r="H76" s="9">
        <f t="shared" si="123"/>
        <v>1</v>
      </c>
      <c r="I76" s="9">
        <f t="shared" si="123"/>
        <v>1</v>
      </c>
      <c r="J76" s="9">
        <f t="shared" si="123"/>
        <v>1</v>
      </c>
      <c r="K76" s="9">
        <f t="shared" si="123"/>
        <v>1</v>
      </c>
      <c r="L76" s="9">
        <f t="shared" si="123"/>
        <v>1</v>
      </c>
      <c r="M76" s="9">
        <f t="shared" si="123"/>
        <v>1</v>
      </c>
      <c r="N76" s="9">
        <f t="shared" ref="N76" si="124">N67</f>
        <v>0.5</v>
      </c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</row>
    <row r="77" spans="2:38" x14ac:dyDescent="0.25">
      <c r="E77" s="7">
        <f ca="1">E76*E75</f>
        <v>894.34585662295092</v>
      </c>
      <c r="F77" s="7">
        <f t="shared" ref="F77:M77" ca="1" si="125">F76*F75</f>
        <v>1190.5072744262293</v>
      </c>
      <c r="G77" s="7">
        <f t="shared" ca="1" si="125"/>
        <v>14640.480080000001</v>
      </c>
      <c r="H77" s="7">
        <f t="shared" ca="1" si="125"/>
        <v>2870.3359840000003</v>
      </c>
      <c r="I77" s="7">
        <f t="shared" ca="1" si="125"/>
        <v>15865.733330000003</v>
      </c>
      <c r="J77" s="7">
        <f t="shared" ca="1" si="125"/>
        <v>2760.760158</v>
      </c>
      <c r="K77" s="7">
        <f t="shared" ca="1" si="125"/>
        <v>13949.981803999999</v>
      </c>
      <c r="L77" s="7">
        <f t="shared" ca="1" si="125"/>
        <v>2306.7194890000001</v>
      </c>
      <c r="M77" s="7">
        <f t="shared" ca="1" si="125"/>
        <v>20664.852521000001</v>
      </c>
      <c r="N77" s="7">
        <f t="shared" ref="N77" ca="1" si="126">N76*N75</f>
        <v>1442.3842300000001</v>
      </c>
      <c r="O77" s="7"/>
      <c r="P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</row>
    <row r="78" spans="2:38" x14ac:dyDescent="0.25">
      <c r="C78" s="3" t="s">
        <v>25</v>
      </c>
      <c r="E78" s="33">
        <f ca="1">E77-E68</f>
        <v>72.527135311475604</v>
      </c>
      <c r="F78" s="33">
        <f t="shared" ref="F78:M78" ca="1" si="127">F77-F68</f>
        <v>96.548802295081941</v>
      </c>
      <c r="G78" s="33">
        <f t="shared" ca="1" si="127"/>
        <v>1187.2958800000015</v>
      </c>
      <c r="H78" s="33">
        <f t="shared" ca="1" si="127"/>
        <v>232.77298400000018</v>
      </c>
      <c r="I78" s="33">
        <f t="shared" ca="1" si="127"/>
        <v>1286.6491300000016</v>
      </c>
      <c r="J78" s="33">
        <f t="shared" ca="1" si="127"/>
        <v>223.89195800000016</v>
      </c>
      <c r="K78" s="33">
        <f t="shared" ca="1" si="127"/>
        <v>1131.3048039999994</v>
      </c>
      <c r="L78" s="33">
        <f t="shared" ca="1" si="127"/>
        <v>187.07048900000018</v>
      </c>
      <c r="M78" s="33">
        <f t="shared" ca="1" si="127"/>
        <v>1675.795521</v>
      </c>
      <c r="N78" s="33">
        <f t="shared" ref="N78" ca="1" si="128">N77-N68</f>
        <v>116.97483000000011</v>
      </c>
      <c r="O78" s="7"/>
      <c r="P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</row>
    <row r="79" spans="2:38" x14ac:dyDescent="0.25">
      <c r="C79" t="s">
        <v>36</v>
      </c>
      <c r="E79" s="9">
        <f ca="1">E78/E68</f>
        <v>8.8251987245721655E-2</v>
      </c>
      <c r="F79" s="9">
        <f t="shared" ref="F79:M79" ca="1" si="129">F78/F68</f>
        <v>8.8256368733078697E-2</v>
      </c>
      <c r="G79" s="9">
        <f t="shared" ca="1" si="129"/>
        <v>8.8253893082055737E-2</v>
      </c>
      <c r="H79" s="9">
        <f t="shared" ca="1" si="129"/>
        <v>8.8253051775445804E-2</v>
      </c>
      <c r="I79" s="9">
        <f t="shared" ca="1" si="129"/>
        <v>8.8253083139474664E-2</v>
      </c>
      <c r="J79" s="9">
        <f t="shared" ca="1" si="129"/>
        <v>8.825525819591265E-2</v>
      </c>
      <c r="K79" s="9">
        <f t="shared" ca="1" si="129"/>
        <v>8.8254412214302566E-2</v>
      </c>
      <c r="L79" s="9">
        <f t="shared" ca="1" si="129"/>
        <v>8.8255408796456478E-2</v>
      </c>
      <c r="M79" s="9">
        <f t="shared" ca="1" si="129"/>
        <v>8.8250591959358485E-2</v>
      </c>
      <c r="N79" s="9">
        <f t="shared" ref="N79" ca="1" si="130">N78/N68</f>
        <v>8.8255621244273733E-2</v>
      </c>
      <c r="O79" s="7"/>
      <c r="P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</row>
    <row r="80" spans="2:38" x14ac:dyDescent="0.25">
      <c r="E80" s="7"/>
      <c r="F80" s="7"/>
      <c r="G80" s="7"/>
      <c r="H80" s="7"/>
      <c r="I80" s="7"/>
      <c r="J80" s="7"/>
      <c r="K80" s="7"/>
      <c r="L80" s="7"/>
      <c r="M80" s="7"/>
      <c r="N80" s="6"/>
      <c r="O80" s="7"/>
      <c r="P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</row>
    <row r="81" spans="1:63" x14ac:dyDescent="0.25">
      <c r="C81" s="115" t="s">
        <v>110</v>
      </c>
      <c r="D81" s="115"/>
      <c r="E81" s="116">
        <f ca="1">E75/E56</f>
        <v>293.30697448387099</v>
      </c>
      <c r="F81" s="116">
        <f t="shared" ref="F81:N81" ca="1" si="131">F75/F56</f>
        <v>194.17364636363635</v>
      </c>
      <c r="G81" s="116">
        <f t="shared" ca="1" si="131"/>
        <v>240.00787016393446</v>
      </c>
      <c r="H81" s="116">
        <f t="shared" ca="1" si="131"/>
        <v>260.93963490909096</v>
      </c>
      <c r="I81" s="116">
        <f t="shared" ca="1" si="131"/>
        <v>260.09398901639349</v>
      </c>
      <c r="J81" s="116">
        <f t="shared" ca="1" si="131"/>
        <v>212.36616599999999</v>
      </c>
      <c r="K81" s="116">
        <f t="shared" ca="1" si="131"/>
        <v>228.68822629508196</v>
      </c>
      <c r="L81" s="116">
        <f t="shared" ca="1" si="131"/>
        <v>209.70177172727273</v>
      </c>
      <c r="M81" s="116">
        <f t="shared" ca="1" si="131"/>
        <v>350.25173764406782</v>
      </c>
      <c r="N81" s="116">
        <f t="shared" ca="1" si="131"/>
        <v>206.05489000000003</v>
      </c>
      <c r="O81" s="7"/>
      <c r="P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</row>
    <row r="82" spans="1:63" x14ac:dyDescent="0.25">
      <c r="C82" s="115" t="s">
        <v>111</v>
      </c>
      <c r="D82" s="115"/>
      <c r="E82" s="116">
        <f ca="1">$D$86*E57/E56/100</f>
        <v>6.7664014701374189</v>
      </c>
      <c r="F82" s="116">
        <f t="shared" ref="F82:N82" ca="1" si="132">$D$86*F57/F56/100</f>
        <v>4.1091726418376142</v>
      </c>
      <c r="G82" s="116">
        <f t="shared" ca="1" si="132"/>
        <v>5.337740502054924</v>
      </c>
      <c r="H82" s="116">
        <f t="shared" ca="1" si="132"/>
        <v>5.8988080033957395</v>
      </c>
      <c r="I82" s="116">
        <f t="shared" ca="1" si="132"/>
        <v>5.876140806730219</v>
      </c>
      <c r="J82" s="116">
        <f t="shared" ca="1" si="132"/>
        <v>4.5968157841976094</v>
      </c>
      <c r="K82" s="116">
        <f t="shared" ca="1" si="132"/>
        <v>5.0343220192423566</v>
      </c>
      <c r="L82" s="116">
        <f t="shared" ca="1" si="132"/>
        <v>4.5253977716513054</v>
      </c>
      <c r="M82" s="116">
        <f t="shared" ca="1" si="132"/>
        <v>8.2927828512452528</v>
      </c>
      <c r="N82" s="116">
        <f t="shared" ca="1" si="132"/>
        <v>4.4276445796334256</v>
      </c>
      <c r="O82" s="7"/>
      <c r="P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</row>
    <row r="83" spans="1:63" x14ac:dyDescent="0.25">
      <c r="C83" s="115" t="s">
        <v>138</v>
      </c>
      <c r="D83" s="115"/>
      <c r="E83" s="117">
        <f ca="1">E82/E81</f>
        <v>2.3069350744366651E-2</v>
      </c>
      <c r="F83" s="117">
        <f t="shared" ref="F83:N83" ca="1" si="133">F82/F81</f>
        <v>2.1162360180135932E-2</v>
      </c>
      <c r="G83" s="117">
        <f t="shared" ca="1" si="133"/>
        <v>2.2239856128088823E-2</v>
      </c>
      <c r="H83" s="117">
        <f t="shared" ca="1" si="133"/>
        <v>2.2606025356978948E-2</v>
      </c>
      <c r="I83" s="117">
        <f t="shared" ca="1" si="133"/>
        <v>2.2592374506432176E-2</v>
      </c>
      <c r="J83" s="117">
        <f t="shared" ca="1" si="133"/>
        <v>2.1645706897574304E-2</v>
      </c>
      <c r="K83" s="117">
        <f t="shared" ca="1" si="133"/>
        <v>2.2013909945440082E-2</v>
      </c>
      <c r="L83" s="117">
        <f t="shared" ca="1" si="133"/>
        <v>2.1580159930822157E-2</v>
      </c>
      <c r="M83" s="117">
        <f t="shared" ca="1" si="133"/>
        <v>2.36766358591846E-2</v>
      </c>
      <c r="N83" s="117">
        <f t="shared" ca="1" si="133"/>
        <v>2.1487694757612523E-2</v>
      </c>
      <c r="O83" s="7"/>
      <c r="P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</row>
    <row r="84" spans="1:63" ht="15.75" thickBot="1" x14ac:dyDescent="0.3">
      <c r="B84" s="3" t="s">
        <v>14</v>
      </c>
      <c r="E84" s="7"/>
      <c r="F84" s="7"/>
      <c r="G84" s="7"/>
      <c r="H84" s="7"/>
      <c r="I84" s="7"/>
      <c r="J84" s="7"/>
      <c r="K84" s="7"/>
      <c r="L84" s="7"/>
      <c r="M84" s="7"/>
    </row>
    <row r="85" spans="1:63" x14ac:dyDescent="0.25">
      <c r="B85" s="113" t="s">
        <v>41</v>
      </c>
      <c r="C85" s="109"/>
      <c r="D85" s="110"/>
      <c r="E85" s="7"/>
      <c r="F85" s="7"/>
      <c r="G85" s="7"/>
      <c r="H85" s="7"/>
      <c r="I85" s="7"/>
      <c r="J85" s="7"/>
      <c r="K85" s="7"/>
      <c r="L85" s="7"/>
      <c r="M85" s="7"/>
    </row>
    <row r="86" spans="1:63" ht="15.75" thickBot="1" x14ac:dyDescent="0.3">
      <c r="B86" s="114"/>
      <c r="C86" s="111" t="s">
        <v>27</v>
      </c>
      <c r="D86" s="112">
        <v>0.48655434941026648</v>
      </c>
      <c r="E86" s="7"/>
      <c r="F86" s="7"/>
      <c r="G86" s="7"/>
      <c r="H86" s="7"/>
      <c r="I86" s="7"/>
      <c r="J86" s="7"/>
      <c r="K86" s="7"/>
      <c r="L86" s="7"/>
      <c r="M86" s="7"/>
      <c r="Y86" s="7">
        <f>$D$86*Y54/100</f>
        <v>0</v>
      </c>
      <c r="Z86" s="7">
        <f t="shared" ref="Z86:AY86" si="134">$D$86*Z54/100</f>
        <v>0</v>
      </c>
      <c r="AA86" s="7">
        <f t="shared" si="134"/>
        <v>0</v>
      </c>
      <c r="AB86" s="7">
        <f t="shared" si="134"/>
        <v>0</v>
      </c>
      <c r="AC86" s="7">
        <f t="shared" si="134"/>
        <v>0</v>
      </c>
      <c r="AD86" s="7">
        <f t="shared" si="134"/>
        <v>0</v>
      </c>
      <c r="AE86" s="7">
        <f t="shared" si="134"/>
        <v>0</v>
      </c>
      <c r="AF86" s="7">
        <f t="shared" si="134"/>
        <v>0</v>
      </c>
      <c r="AG86" s="7">
        <f t="shared" si="134"/>
        <v>0</v>
      </c>
      <c r="AH86" s="7">
        <f t="shared" si="134"/>
        <v>0</v>
      </c>
      <c r="AI86" s="7">
        <f t="shared" si="134"/>
        <v>0</v>
      </c>
      <c r="AJ86" s="7">
        <f t="shared" si="134"/>
        <v>0</v>
      </c>
      <c r="AK86" s="7">
        <f t="shared" si="134"/>
        <v>0</v>
      </c>
      <c r="AL86" s="7">
        <f t="shared" ca="1" si="134"/>
        <v>746.75430082608318</v>
      </c>
      <c r="AM86" s="7">
        <f t="shared" ca="1" si="134"/>
        <v>49.401588032671313</v>
      </c>
      <c r="AN86" s="7">
        <f t="shared" ca="1" si="134"/>
        <v>539.01428961177305</v>
      </c>
      <c r="AO86" s="7">
        <f t="shared" ca="1" si="134"/>
        <v>53.862475544995938</v>
      </c>
      <c r="AP86" s="7">
        <f t="shared" ca="1" si="134"/>
        <v>381.2471832007941</v>
      </c>
      <c r="AQ86" s="7">
        <f t="shared" ca="1" si="134"/>
        <v>79.814107036488608</v>
      </c>
      <c r="AR86" s="7">
        <f t="shared" ca="1" si="134"/>
        <v>419.0521949643628</v>
      </c>
      <c r="AS86" s="7">
        <f t="shared" ca="1" si="134"/>
        <v>71.091427250099642</v>
      </c>
      <c r="AT86" s="7">
        <f t="shared" ca="1" si="134"/>
        <v>370.94039782302985</v>
      </c>
      <c r="AU86" s="7">
        <f t="shared" ca="1" si="134"/>
        <v>72.135955891407221</v>
      </c>
      <c r="AV86" s="7">
        <f t="shared" ca="1" si="134"/>
        <v>639.77667823912623</v>
      </c>
      <c r="AW86" s="7">
        <f t="shared" ca="1" si="134"/>
        <v>80.62491518070803</v>
      </c>
      <c r="AX86" s="7">
        <f t="shared" ca="1" si="134"/>
        <v>793.84968657946479</v>
      </c>
      <c r="AY86" s="7">
        <f t="shared" ca="1" si="134"/>
        <v>52.517186888485803</v>
      </c>
      <c r="AZ86" s="7">
        <f t="shared" ref="AZ86:BI86" ca="1" si="135">$D$86*AZ54/100</f>
        <v>573.00818274070389</v>
      </c>
      <c r="BA86" s="7">
        <f t="shared" ca="1" si="135"/>
        <v>57.259408191540487</v>
      </c>
      <c r="BB86" s="7">
        <f t="shared" ca="1" si="135"/>
        <v>405.29121366753418</v>
      </c>
      <c r="BC86" s="7">
        <f t="shared" ca="1" si="135"/>
        <v>84.847725397021549</v>
      </c>
      <c r="BD86" s="7">
        <f t="shared" ca="1" si="135"/>
        <v>445.48046561619026</v>
      </c>
      <c r="BE86" s="7">
        <f t="shared" ca="1" si="135"/>
        <v>75.574934323842839</v>
      </c>
      <c r="BF86" s="7">
        <f t="shared" ca="1" si="135"/>
        <v>394.33441257147257</v>
      </c>
      <c r="BG86" s="7">
        <f t="shared" ca="1" si="135"/>
        <v>76.685338018348531</v>
      </c>
      <c r="BH86" s="7">
        <f t="shared" ca="1" si="135"/>
        <v>680.12533029825386</v>
      </c>
      <c r="BI86" s="7">
        <f t="shared" ca="1" si="135"/>
        <v>85.709668596347782</v>
      </c>
      <c r="BJ86" s="7"/>
      <c r="BK86" s="7"/>
    </row>
    <row r="88" spans="1:63" s="3" customFormat="1" x14ac:dyDescent="0.25">
      <c r="C88" s="3" t="s">
        <v>9</v>
      </c>
      <c r="G88" s="89">
        <f>G45</f>
        <v>45092</v>
      </c>
      <c r="H88" s="89">
        <f t="shared" ref="H88:AY88" si="136">H45</f>
        <v>45122</v>
      </c>
      <c r="I88" s="89">
        <f t="shared" si="136"/>
        <v>45153</v>
      </c>
      <c r="J88" s="89">
        <f t="shared" si="136"/>
        <v>45184</v>
      </c>
      <c r="K88" s="89">
        <f t="shared" si="136"/>
        <v>45214</v>
      </c>
      <c r="L88" s="89">
        <f t="shared" si="136"/>
        <v>45245</v>
      </c>
      <c r="M88" s="89">
        <f t="shared" si="136"/>
        <v>45275</v>
      </c>
      <c r="N88" s="89">
        <f t="shared" si="136"/>
        <v>45306</v>
      </c>
      <c r="O88" s="89">
        <f t="shared" si="136"/>
        <v>45337</v>
      </c>
      <c r="P88" s="89">
        <f t="shared" si="136"/>
        <v>45366</v>
      </c>
      <c r="Q88" s="89">
        <f t="shared" si="136"/>
        <v>45397</v>
      </c>
      <c r="R88" s="89">
        <f t="shared" si="136"/>
        <v>45427</v>
      </c>
      <c r="S88" s="89">
        <f t="shared" si="136"/>
        <v>45458</v>
      </c>
      <c r="T88" s="89">
        <f t="shared" si="136"/>
        <v>45488</v>
      </c>
      <c r="U88" s="89">
        <f t="shared" si="136"/>
        <v>45519</v>
      </c>
      <c r="V88" s="89">
        <f t="shared" si="136"/>
        <v>45550</v>
      </c>
      <c r="W88" s="89">
        <f t="shared" si="136"/>
        <v>45580</v>
      </c>
      <c r="X88" s="89">
        <f t="shared" si="136"/>
        <v>45611</v>
      </c>
      <c r="Y88" s="89">
        <f t="shared" si="136"/>
        <v>45641</v>
      </c>
      <c r="Z88" s="89">
        <f t="shared" si="136"/>
        <v>45672</v>
      </c>
      <c r="AA88" s="89">
        <f t="shared" si="136"/>
        <v>45703</v>
      </c>
      <c r="AB88" s="89">
        <f t="shared" si="136"/>
        <v>45731</v>
      </c>
      <c r="AC88" s="89">
        <f t="shared" si="136"/>
        <v>45762</v>
      </c>
      <c r="AD88" s="89">
        <f t="shared" si="136"/>
        <v>45792</v>
      </c>
      <c r="AE88" s="89">
        <f t="shared" si="136"/>
        <v>45823</v>
      </c>
      <c r="AF88" s="89">
        <f t="shared" si="136"/>
        <v>45853</v>
      </c>
      <c r="AG88" s="89">
        <f t="shared" si="136"/>
        <v>45884</v>
      </c>
      <c r="AH88" s="89">
        <f t="shared" si="136"/>
        <v>45915</v>
      </c>
      <c r="AI88" s="89">
        <f t="shared" si="136"/>
        <v>45945</v>
      </c>
      <c r="AJ88" s="89">
        <f t="shared" si="136"/>
        <v>45976</v>
      </c>
      <c r="AK88" s="89">
        <f t="shared" si="136"/>
        <v>46006</v>
      </c>
      <c r="AL88" s="89">
        <f t="shared" si="136"/>
        <v>46037</v>
      </c>
      <c r="AM88" s="89">
        <f t="shared" si="136"/>
        <v>46068</v>
      </c>
      <c r="AN88" s="89">
        <f t="shared" si="136"/>
        <v>46096</v>
      </c>
      <c r="AO88" s="89">
        <f t="shared" si="136"/>
        <v>46127</v>
      </c>
      <c r="AP88" s="89">
        <f t="shared" si="136"/>
        <v>46157</v>
      </c>
      <c r="AQ88" s="89">
        <f t="shared" si="136"/>
        <v>46188</v>
      </c>
      <c r="AR88" s="89">
        <f t="shared" si="136"/>
        <v>46218</v>
      </c>
      <c r="AS88" s="89">
        <f t="shared" si="136"/>
        <v>46249</v>
      </c>
      <c r="AT88" s="89">
        <f t="shared" si="136"/>
        <v>46280</v>
      </c>
      <c r="AU88" s="89">
        <f t="shared" si="136"/>
        <v>46310</v>
      </c>
      <c r="AV88" s="89">
        <f t="shared" si="136"/>
        <v>46341</v>
      </c>
      <c r="AW88" s="89">
        <f t="shared" si="136"/>
        <v>46371</v>
      </c>
      <c r="AX88" s="89">
        <f t="shared" si="136"/>
        <v>46402</v>
      </c>
      <c r="AY88" s="89">
        <f t="shared" si="136"/>
        <v>46433</v>
      </c>
      <c r="AZ88" s="89">
        <f t="shared" ref="AZ88:BK88" si="137">AZ45</f>
        <v>46461</v>
      </c>
      <c r="BA88" s="89">
        <f t="shared" si="137"/>
        <v>46492</v>
      </c>
      <c r="BB88" s="89">
        <f t="shared" si="137"/>
        <v>46522</v>
      </c>
      <c r="BC88" s="89">
        <f t="shared" si="137"/>
        <v>46553</v>
      </c>
      <c r="BD88" s="89">
        <f t="shared" si="137"/>
        <v>46583</v>
      </c>
      <c r="BE88" s="89">
        <f t="shared" si="137"/>
        <v>46614</v>
      </c>
      <c r="BF88" s="89">
        <f t="shared" si="137"/>
        <v>46645</v>
      </c>
      <c r="BG88" s="89">
        <f t="shared" si="137"/>
        <v>46675</v>
      </c>
      <c r="BH88" s="89">
        <f t="shared" si="137"/>
        <v>46706</v>
      </c>
      <c r="BI88" s="89">
        <f t="shared" si="137"/>
        <v>46736</v>
      </c>
      <c r="BJ88" s="89">
        <f t="shared" si="137"/>
        <v>46767</v>
      </c>
      <c r="BK88" s="89">
        <f t="shared" si="137"/>
        <v>46798</v>
      </c>
    </row>
    <row r="89" spans="1:63" x14ac:dyDescent="0.25">
      <c r="C89" t="s">
        <v>10</v>
      </c>
      <c r="E89" s="8">
        <v>0</v>
      </c>
      <c r="F89" s="24">
        <f t="shared" ref="F89:AM89" si="138">E93</f>
        <v>0</v>
      </c>
      <c r="G89" s="34">
        <f t="shared" si="138"/>
        <v>0</v>
      </c>
      <c r="H89" s="24">
        <f t="shared" ca="1" si="138"/>
        <v>-72.669092950131002</v>
      </c>
      <c r="I89" s="24">
        <f t="shared" ca="1" si="138"/>
        <v>-169.6913415700707</v>
      </c>
      <c r="J89" s="24">
        <f t="shared" ca="1" si="138"/>
        <v>-1359.9753953463901</v>
      </c>
      <c r="K89" s="24">
        <f t="shared" ca="1" si="138"/>
        <v>-1598.5277568560205</v>
      </c>
      <c r="L89" s="24">
        <f t="shared" ca="1" si="138"/>
        <v>-2893.9528590616819</v>
      </c>
      <c r="M89" s="24">
        <f t="shared" ca="1" si="138"/>
        <v>-3129.6117315897604</v>
      </c>
      <c r="N89" s="24">
        <f t="shared" ca="1" si="138"/>
        <v>-4275.3820447639355</v>
      </c>
      <c r="O89" s="24">
        <f t="shared" ca="1" si="138"/>
        <v>-4479.5551307216438</v>
      </c>
      <c r="P89" s="24">
        <f t="shared" ca="1" si="138"/>
        <v>-6176.1663933846057</v>
      </c>
      <c r="Q89" s="24">
        <f t="shared" ca="1" si="138"/>
        <v>-6317.5474467566228</v>
      </c>
      <c r="R89" s="24">
        <f t="shared" ca="1" si="138"/>
        <v>-6342.2781661979334</v>
      </c>
      <c r="S89" s="24">
        <f t="shared" ca="1" si="138"/>
        <v>-6367.1056967022778</v>
      </c>
      <c r="T89" s="24">
        <f t="shared" ca="1" si="138"/>
        <v>-6392.0304172469814</v>
      </c>
      <c r="U89" s="24">
        <f t="shared" ca="1" si="138"/>
        <v>-6417.0527082929184</v>
      </c>
      <c r="V89" s="24">
        <f t="shared" ca="1" si="138"/>
        <v>-6442.1729517903168</v>
      </c>
      <c r="W89" s="24">
        <f t="shared" ca="1" si="138"/>
        <v>-6467.3915311845913</v>
      </c>
      <c r="X89" s="24">
        <f t="shared" ca="1" si="138"/>
        <v>-6492.7088314221937</v>
      </c>
      <c r="Y89" s="24">
        <f t="shared" ca="1" si="138"/>
        <v>-6518.1252389564906</v>
      </c>
      <c r="Z89" s="24">
        <f t="shared" ca="1" si="138"/>
        <v>-6543.6411417536619</v>
      </c>
      <c r="AA89" s="24">
        <f t="shared" ca="1" si="138"/>
        <v>-6569.2569292986227</v>
      </c>
      <c r="AB89" s="24">
        <f t="shared" ca="1" si="138"/>
        <v>-6594.9729926009695</v>
      </c>
      <c r="AC89" s="24">
        <f t="shared" ca="1" si="138"/>
        <v>-6620.7897242009467</v>
      </c>
      <c r="AD89" s="24">
        <f t="shared" ca="1" si="138"/>
        <v>-6646.7075181754408</v>
      </c>
      <c r="AE89" s="24">
        <f t="shared" ca="1" si="138"/>
        <v>-6672.7267701439932</v>
      </c>
      <c r="AF89" s="24">
        <f t="shared" ca="1" si="138"/>
        <v>-6698.8478772748431</v>
      </c>
      <c r="AG89" s="24">
        <f t="shared" ca="1" si="138"/>
        <v>-6725.0712382909851</v>
      </c>
      <c r="AH89" s="24">
        <f t="shared" ca="1" si="138"/>
        <v>-6751.3972534762588</v>
      </c>
      <c r="AI89" s="24">
        <f t="shared" ca="1" si="138"/>
        <v>-6777.8263246814586</v>
      </c>
      <c r="AJ89" s="24">
        <f t="shared" ca="1" si="138"/>
        <v>-6804.3588553304662</v>
      </c>
      <c r="AK89" s="24">
        <f t="shared" ca="1" si="138"/>
        <v>-6830.9952504264093</v>
      </c>
      <c r="AL89" s="24">
        <f t="shared" ca="1" si="138"/>
        <v>-6857.7359165578446</v>
      </c>
      <c r="AM89" s="24">
        <f t="shared" ca="1" si="138"/>
        <v>-6884.5812619049639</v>
      </c>
      <c r="AN89" s="24">
        <f t="shared" ref="AN89:AW89" ca="1" si="139">AM93</f>
        <v>-6911.5316962458228</v>
      </c>
      <c r="AO89" s="24">
        <f t="shared" ca="1" si="139"/>
        <v>-6190.3717050944433</v>
      </c>
      <c r="AP89" s="24">
        <f t="shared" ca="1" si="139"/>
        <v>-6165.1062994576168</v>
      </c>
      <c r="AQ89" s="24">
        <f t="shared" ca="1" si="139"/>
        <v>-5649.1709672831912</v>
      </c>
      <c r="AR89" s="24">
        <f t="shared" ca="1" si="139"/>
        <v>-5617.3173542840086</v>
      </c>
      <c r="AS89" s="24">
        <f t="shared" ca="1" si="139"/>
        <v>-5257.3135478951672</v>
      </c>
      <c r="AT89" s="24">
        <f t="shared" ca="1" si="139"/>
        <v>-5197.9235401331453</v>
      </c>
      <c r="AU89" s="24">
        <f t="shared" ca="1" si="139"/>
        <v>-4798.3989638619023</v>
      </c>
      <c r="AV89" s="24">
        <f t="shared" ca="1" si="139"/>
        <v>-4745.952238288276</v>
      </c>
      <c r="AW89" s="24">
        <f t="shared" ca="1" si="139"/>
        <v>-4392.8643382554865</v>
      </c>
      <c r="AX89" s="24">
        <f t="shared" ref="AX89" ca="1" si="140">AW93</f>
        <v>-4337.7835306408142</v>
      </c>
      <c r="AY89" s="24">
        <f t="shared" ref="AY89" ca="1" si="141">AX93</f>
        <v>-3713.7353355770879</v>
      </c>
      <c r="AZ89" s="24">
        <f t="shared" ref="AZ89" ca="1" si="142">AY93</f>
        <v>-3647.4904296247114</v>
      </c>
      <c r="BA89" s="24">
        <f t="shared" ref="BA89" ca="1" si="143">AZ93</f>
        <v>-2866.3654318930526</v>
      </c>
      <c r="BB89" s="24">
        <f t="shared" ref="BB89" ca="1" si="144">BA93</f>
        <v>-2824.9661489058799</v>
      </c>
      <c r="BC89" s="24">
        <f t="shared" ref="BC89" ca="1" si="145">BB93</f>
        <v>-2261.8950491054161</v>
      </c>
      <c r="BD89" s="24">
        <f t="shared" ref="BD89" ca="1" si="146">BC93</f>
        <v>-2213.3779984744492</v>
      </c>
      <c r="BE89" s="24">
        <f t="shared" ref="BE89" ca="1" si="147">BD93</f>
        <v>-1815.9580131701862</v>
      </c>
      <c r="BF89" s="24">
        <f t="shared" ref="BF89" ca="1" si="148">BE93</f>
        <v>-1738.0529780916072</v>
      </c>
      <c r="BG89" s="24">
        <f t="shared" ref="BG89" ca="1" si="149">BF93</f>
        <v>-1298.5043673107436</v>
      </c>
      <c r="BH89" s="24">
        <f t="shared" ref="BH89" ca="1" si="150">BG93</f>
        <v>-1227.8646449841619</v>
      </c>
      <c r="BI89" s="24">
        <f t="shared" ref="BI89" ca="1" si="151">BH93</f>
        <v>-837.5650084709863</v>
      </c>
      <c r="BJ89" s="24">
        <f t="shared" ref="BJ89" ca="1" si="152">BI93</f>
        <v>-764.00831232118526</v>
      </c>
      <c r="BK89" s="24">
        <f t="shared" ref="BK89" ca="1" si="153">BJ93</f>
        <v>-85.542562888281253</v>
      </c>
    </row>
    <row r="90" spans="1:63" x14ac:dyDescent="0.25">
      <c r="C90" t="s">
        <v>39</v>
      </c>
      <c r="E90" s="8">
        <v>0</v>
      </c>
      <c r="F90" s="24">
        <v>0</v>
      </c>
      <c r="G90" s="24">
        <f t="shared" ref="G90:P90" ca="1" si="154">-E78</f>
        <v>-72.527135311475604</v>
      </c>
      <c r="H90" s="24">
        <f t="shared" ca="1" si="154"/>
        <v>-96.548802295081941</v>
      </c>
      <c r="I90" s="24">
        <f t="shared" ca="1" si="154"/>
        <v>-1187.2958800000015</v>
      </c>
      <c r="J90" s="24">
        <f t="shared" ca="1" si="154"/>
        <v>-232.77298400000018</v>
      </c>
      <c r="K90" s="24">
        <f t="shared" ca="1" si="154"/>
        <v>-1286.6491300000016</v>
      </c>
      <c r="L90" s="24">
        <f t="shared" ca="1" si="154"/>
        <v>-223.89195800000016</v>
      </c>
      <c r="M90" s="24">
        <f t="shared" ca="1" si="154"/>
        <v>-1131.3048039999994</v>
      </c>
      <c r="N90" s="24">
        <f t="shared" ca="1" si="154"/>
        <v>-187.07048900000018</v>
      </c>
      <c r="O90" s="24">
        <f t="shared" ca="1" si="154"/>
        <v>-1675.795521</v>
      </c>
      <c r="P90" s="24">
        <f t="shared" ca="1" si="154"/>
        <v>-116.97483000000011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4">
        <v>0</v>
      </c>
      <c r="AI90" s="24">
        <v>0</v>
      </c>
      <c r="AJ90" s="24">
        <v>0</v>
      </c>
      <c r="AK90" s="24">
        <v>0</v>
      </c>
      <c r="AL90" s="24">
        <v>0</v>
      </c>
      <c r="AM90" s="24">
        <v>0</v>
      </c>
      <c r="AN90" s="24">
        <v>0</v>
      </c>
      <c r="AO90" s="24">
        <v>0</v>
      </c>
      <c r="AP90" s="24">
        <v>0</v>
      </c>
      <c r="AQ90" s="24">
        <v>0</v>
      </c>
      <c r="AR90" s="24">
        <v>0</v>
      </c>
      <c r="AS90" s="24">
        <v>0</v>
      </c>
      <c r="AT90" s="24">
        <v>0</v>
      </c>
      <c r="AU90" s="24">
        <v>0</v>
      </c>
      <c r="AV90" s="24">
        <v>0</v>
      </c>
      <c r="AW90" s="24">
        <v>0</v>
      </c>
      <c r="AX90" s="24">
        <v>0</v>
      </c>
      <c r="AY90" s="24">
        <v>0</v>
      </c>
      <c r="AZ90" s="24">
        <v>0</v>
      </c>
      <c r="BA90" s="24">
        <v>0</v>
      </c>
      <c r="BB90" s="24">
        <v>0</v>
      </c>
      <c r="BC90" s="24">
        <v>0</v>
      </c>
      <c r="BD90" s="24">
        <v>0</v>
      </c>
      <c r="BE90" s="24">
        <v>0</v>
      </c>
      <c r="BF90" s="24">
        <v>0</v>
      </c>
      <c r="BG90" s="24">
        <v>0</v>
      </c>
      <c r="BH90" s="24">
        <v>0</v>
      </c>
      <c r="BI90" s="24">
        <v>0</v>
      </c>
      <c r="BJ90" s="24">
        <v>0</v>
      </c>
      <c r="BK90" s="24">
        <v>0</v>
      </c>
    </row>
    <row r="91" spans="1:63" x14ac:dyDescent="0.25">
      <c r="C91" t="s">
        <v>40</v>
      </c>
      <c r="AA91" s="7">
        <f>Y86</f>
        <v>0</v>
      </c>
      <c r="AB91" s="7">
        <f t="shared" ref="AB91:AY91" si="155">Z86</f>
        <v>0</v>
      </c>
      <c r="AC91" s="7">
        <f t="shared" si="155"/>
        <v>0</v>
      </c>
      <c r="AD91" s="7">
        <f t="shared" si="155"/>
        <v>0</v>
      </c>
      <c r="AE91" s="7">
        <f t="shared" si="155"/>
        <v>0</v>
      </c>
      <c r="AF91" s="7">
        <f t="shared" si="155"/>
        <v>0</v>
      </c>
      <c r="AG91" s="7">
        <f t="shared" si="155"/>
        <v>0</v>
      </c>
      <c r="AH91" s="7">
        <f t="shared" si="155"/>
        <v>0</v>
      </c>
      <c r="AI91" s="7">
        <f t="shared" si="155"/>
        <v>0</v>
      </c>
      <c r="AJ91" s="7">
        <f t="shared" si="155"/>
        <v>0</v>
      </c>
      <c r="AK91" s="7">
        <f t="shared" si="155"/>
        <v>0</v>
      </c>
      <c r="AL91" s="7">
        <f t="shared" si="155"/>
        <v>0</v>
      </c>
      <c r="AM91" s="7">
        <f t="shared" si="155"/>
        <v>0</v>
      </c>
      <c r="AN91" s="7">
        <f t="shared" ca="1" si="155"/>
        <v>746.75430082608318</v>
      </c>
      <c r="AO91" s="7">
        <f t="shared" ca="1" si="155"/>
        <v>49.401588032671313</v>
      </c>
      <c r="AP91" s="7">
        <f t="shared" ca="1" si="155"/>
        <v>539.01428961177305</v>
      </c>
      <c r="AQ91" s="7">
        <f t="shared" ca="1" si="155"/>
        <v>53.862475544995938</v>
      </c>
      <c r="AR91" s="7">
        <f t="shared" ca="1" si="155"/>
        <v>381.2471832007941</v>
      </c>
      <c r="AS91" s="7">
        <f t="shared" ca="1" si="155"/>
        <v>79.814107036488608</v>
      </c>
      <c r="AT91" s="7">
        <f t="shared" ca="1" si="155"/>
        <v>419.0521949643628</v>
      </c>
      <c r="AU91" s="7">
        <f t="shared" ca="1" si="155"/>
        <v>71.091427250099642</v>
      </c>
      <c r="AV91" s="7">
        <f t="shared" ca="1" si="155"/>
        <v>370.94039782302985</v>
      </c>
      <c r="AW91" s="7">
        <f t="shared" ca="1" si="155"/>
        <v>72.135955891407221</v>
      </c>
      <c r="AX91" s="7">
        <f t="shared" ca="1" si="155"/>
        <v>639.77667823912623</v>
      </c>
      <c r="AY91" s="7">
        <f t="shared" ca="1" si="155"/>
        <v>80.62491518070803</v>
      </c>
      <c r="AZ91" s="7">
        <f t="shared" ref="AZ91" ca="1" si="156">AX86</f>
        <v>793.84968657946479</v>
      </c>
      <c r="BA91" s="7">
        <f t="shared" ref="BA91" ca="1" si="157">AY86</f>
        <v>52.517186888485803</v>
      </c>
      <c r="BB91" s="7">
        <f t="shared" ref="BB91" ca="1" si="158">AZ86</f>
        <v>573.00818274070389</v>
      </c>
      <c r="BC91" s="7">
        <f t="shared" ref="BC91" ca="1" si="159">BA86</f>
        <v>57.259408191540487</v>
      </c>
      <c r="BD91" s="7">
        <f t="shared" ref="BD91" ca="1" si="160">BB86</f>
        <v>405.29121366753418</v>
      </c>
      <c r="BE91" s="7">
        <f t="shared" ref="BE91" ca="1" si="161">BC86</f>
        <v>84.847725397021549</v>
      </c>
      <c r="BF91" s="7">
        <f t="shared" ref="BF91" ca="1" si="162">BD86</f>
        <v>445.48046561619026</v>
      </c>
      <c r="BG91" s="7">
        <f t="shared" ref="BG91" ca="1" si="163">BE86</f>
        <v>75.574934323842839</v>
      </c>
      <c r="BH91" s="7">
        <f t="shared" ref="BH91" ca="1" si="164">BF86</f>
        <v>394.33441257147257</v>
      </c>
      <c r="BI91" s="7">
        <f t="shared" ref="BI91" ca="1" si="165">BG86</f>
        <v>76.685338018348531</v>
      </c>
      <c r="BJ91" s="7">
        <f t="shared" ref="BJ91" ca="1" si="166">BH86</f>
        <v>680.12533029825386</v>
      </c>
      <c r="BK91" s="7">
        <f t="shared" ref="BK91" ca="1" si="167">BI86</f>
        <v>85.709668596347782</v>
      </c>
    </row>
    <row r="92" spans="1:63" x14ac:dyDescent="0.25">
      <c r="C92" s="21" t="s">
        <v>12</v>
      </c>
      <c r="D92" s="107">
        <f>0.6*0.03+0.4*0.075</f>
        <v>4.8000000000000001E-2</v>
      </c>
      <c r="E92" s="22"/>
      <c r="F92" s="24">
        <f>(F89+F90/2+F91/2)*(($D92+1)^(1/12)-1)</f>
        <v>0</v>
      </c>
      <c r="G92" s="24">
        <f t="shared" ref="G92:BK92" ca="1" si="168">(G89+G90/2+G91/2)*(($D92+1)^(1/12)-1)</f>
        <v>-0.14195763865540331</v>
      </c>
      <c r="H92" s="24">
        <f t="shared" ca="1" si="168"/>
        <v>-0.47344632485774407</v>
      </c>
      <c r="I92" s="24">
        <f t="shared" ca="1" si="168"/>
        <v>-2.9881737763177258</v>
      </c>
      <c r="J92" s="24">
        <f t="shared" ca="1" si="168"/>
        <v>-5.7793775096303071</v>
      </c>
      <c r="K92" s="24">
        <f t="shared" ca="1" si="168"/>
        <v>-8.7759722056596718</v>
      </c>
      <c r="L92" s="24">
        <f t="shared" ca="1" si="168"/>
        <v>-11.76691452807845</v>
      </c>
      <c r="M92" s="24">
        <f t="shared" ca="1" si="168"/>
        <v>-14.465509174175446</v>
      </c>
      <c r="N92" s="24">
        <f t="shared" ca="1" si="168"/>
        <v>-17.102596957708396</v>
      </c>
      <c r="O92" s="24">
        <f t="shared" ca="1" si="168"/>
        <v>-20.815741662961699</v>
      </c>
      <c r="P92" s="24">
        <f t="shared" ca="1" si="168"/>
        <v>-24.40622337201723</v>
      </c>
      <c r="Q92" s="24">
        <f t="shared" ca="1" si="168"/>
        <v>-24.730719441310747</v>
      </c>
      <c r="R92" s="24">
        <f t="shared" ca="1" si="168"/>
        <v>-24.827530504344207</v>
      </c>
      <c r="S92" s="24">
        <f t="shared" ca="1" si="168"/>
        <v>-24.924720544703735</v>
      </c>
      <c r="T92" s="24">
        <f t="shared" ca="1" si="168"/>
        <v>-25.022291045936868</v>
      </c>
      <c r="U92" s="24">
        <f t="shared" ca="1" si="168"/>
        <v>-25.120243497398643</v>
      </c>
      <c r="V92" s="24">
        <f t="shared" ca="1" si="168"/>
        <v>-25.218579394274339</v>
      </c>
      <c r="W92" s="24">
        <f t="shared" ca="1" si="168"/>
        <v>-25.3173002376023</v>
      </c>
      <c r="X92" s="24">
        <f t="shared" ca="1" si="168"/>
        <v>-25.416407534296845</v>
      </c>
      <c r="Y92" s="24">
        <f t="shared" ca="1" si="168"/>
        <v>-25.515902797171272</v>
      </c>
      <c r="Z92" s="24">
        <f t="shared" ca="1" si="168"/>
        <v>-25.615787544960948</v>
      </c>
      <c r="AA92" s="24">
        <f t="shared" ca="1" si="168"/>
        <v>-25.716063302346495</v>
      </c>
      <c r="AB92" s="24">
        <f t="shared" ca="1" si="168"/>
        <v>-25.816731599977061</v>
      </c>
      <c r="AC92" s="24">
        <f t="shared" ca="1" si="168"/>
        <v>-25.917793974493687</v>
      </c>
      <c r="AD92" s="24">
        <f t="shared" ca="1" si="168"/>
        <v>-26.019251968552751</v>
      </c>
      <c r="AE92" s="24">
        <f t="shared" ca="1" si="168"/>
        <v>-26.121107130849538</v>
      </c>
      <c r="AF92" s="24">
        <f t="shared" ca="1" si="168"/>
        <v>-26.223361016141865</v>
      </c>
      <c r="AG92" s="24">
        <f t="shared" ca="1" si="168"/>
        <v>-26.326015185273803</v>
      </c>
      <c r="AH92" s="24">
        <f t="shared" ca="1" si="168"/>
        <v>-26.429071205199534</v>
      </c>
      <c r="AI92" s="24">
        <f t="shared" ca="1" si="168"/>
        <v>-26.532530649007239</v>
      </c>
      <c r="AJ92" s="24">
        <f t="shared" ca="1" si="168"/>
        <v>-26.636395095943122</v>
      </c>
      <c r="AK92" s="24">
        <f t="shared" ca="1" si="168"/>
        <v>-26.740666131435521</v>
      </c>
      <c r="AL92" s="24">
        <f t="shared" ca="1" si="168"/>
        <v>-26.8453453471191</v>
      </c>
      <c r="AM92" s="24">
        <f t="shared" ca="1" si="168"/>
        <v>-26.950434340859154</v>
      </c>
      <c r="AN92" s="24">
        <f t="shared" ca="1" si="168"/>
        <v>-25.594309674703432</v>
      </c>
      <c r="AO92" s="24">
        <f t="shared" ca="1" si="168"/>
        <v>-24.136182395845122</v>
      </c>
      <c r="AP92" s="24">
        <f t="shared" ca="1" si="168"/>
        <v>-23.078957437347704</v>
      </c>
      <c r="AQ92" s="24">
        <f t="shared" ca="1" si="168"/>
        <v>-22.008862545813219</v>
      </c>
      <c r="AR92" s="24">
        <f t="shared" ca="1" si="168"/>
        <v>-21.243376811952501</v>
      </c>
      <c r="AS92" s="24">
        <f t="shared" ca="1" si="168"/>
        <v>-20.42409927446629</v>
      </c>
      <c r="AT92" s="24">
        <f t="shared" ca="1" si="168"/>
        <v>-19.527618693119344</v>
      </c>
      <c r="AU92" s="24">
        <f t="shared" ca="1" si="168"/>
        <v>-18.644701676473268</v>
      </c>
      <c r="AV92" s="24">
        <f t="shared" ca="1" si="168"/>
        <v>-17.852497790240694</v>
      </c>
      <c r="AW92" s="24">
        <f t="shared" ca="1" si="168"/>
        <v>-17.055148276735355</v>
      </c>
      <c r="AX92" s="24">
        <f t="shared" ca="1" si="168"/>
        <v>-15.728483175400127</v>
      </c>
      <c r="AY92" s="24">
        <f t="shared" ca="1" si="168"/>
        <v>-14.380009228331478</v>
      </c>
      <c r="AZ92" s="24">
        <f t="shared" ca="1" si="168"/>
        <v>-12.724688847806137</v>
      </c>
      <c r="BA92" s="24">
        <f t="shared" ca="1" si="168"/>
        <v>-11.117903901313023</v>
      </c>
      <c r="BB92" s="24">
        <f t="shared" ca="1" si="168"/>
        <v>-9.9370829402402467</v>
      </c>
      <c r="BC92" s="24">
        <f t="shared" ca="1" si="168"/>
        <v>-8.7423575605736623</v>
      </c>
      <c r="BD92" s="24">
        <f t="shared" ca="1" si="168"/>
        <v>-7.8712283632710722</v>
      </c>
      <c r="BE92" s="24">
        <f t="shared" ca="1" si="168"/>
        <v>-6.9426903184425104</v>
      </c>
      <c r="BF92" s="24">
        <f t="shared" ca="1" si="168"/>
        <v>-5.931854835326666</v>
      </c>
      <c r="BG92" s="24">
        <f t="shared" ca="1" si="168"/>
        <v>-4.9352119972610975</v>
      </c>
      <c r="BH92" s="24">
        <f t="shared" ca="1" si="168"/>
        <v>-4.0347760582969023</v>
      </c>
      <c r="BI92" s="24">
        <f t="shared" ca="1" si="168"/>
        <v>-3.1286418685474944</v>
      </c>
      <c r="BJ92" s="24">
        <f t="shared" ca="1" si="168"/>
        <v>-1.6595808653498496</v>
      </c>
      <c r="BK92" s="24">
        <f t="shared" ca="1" si="168"/>
        <v>-0.16710570806884112</v>
      </c>
    </row>
    <row r="93" spans="1:63" x14ac:dyDescent="0.25">
      <c r="C93" t="s">
        <v>11</v>
      </c>
      <c r="E93">
        <f t="shared" ref="E93:AM93" si="169">SUM(E89:E92)</f>
        <v>0</v>
      </c>
      <c r="F93" s="25">
        <f t="shared" si="169"/>
        <v>0</v>
      </c>
      <c r="G93" s="25">
        <f t="shared" ca="1" si="169"/>
        <v>-72.669092950131002</v>
      </c>
      <c r="H93" s="25">
        <f t="shared" ca="1" si="169"/>
        <v>-169.6913415700707</v>
      </c>
      <c r="I93" s="25">
        <f t="shared" ca="1" si="169"/>
        <v>-1359.9753953463901</v>
      </c>
      <c r="J93" s="25">
        <f t="shared" ca="1" si="169"/>
        <v>-1598.5277568560205</v>
      </c>
      <c r="K93" s="25">
        <f t="shared" ca="1" si="169"/>
        <v>-2893.9528590616819</v>
      </c>
      <c r="L93" s="25">
        <f t="shared" ca="1" si="169"/>
        <v>-3129.6117315897604</v>
      </c>
      <c r="M93" s="25">
        <f t="shared" ca="1" si="169"/>
        <v>-4275.3820447639355</v>
      </c>
      <c r="N93" s="25">
        <f t="shared" ca="1" si="169"/>
        <v>-4479.5551307216438</v>
      </c>
      <c r="O93" s="25">
        <f t="shared" ca="1" si="169"/>
        <v>-6176.1663933846057</v>
      </c>
      <c r="P93" s="25">
        <f t="shared" ca="1" si="169"/>
        <v>-6317.5474467566228</v>
      </c>
      <c r="Q93" s="25">
        <f t="shared" ca="1" si="169"/>
        <v>-6342.2781661979334</v>
      </c>
      <c r="R93" s="25">
        <f t="shared" ca="1" si="169"/>
        <v>-6367.1056967022778</v>
      </c>
      <c r="S93" s="25">
        <f t="shared" ca="1" si="169"/>
        <v>-6392.0304172469814</v>
      </c>
      <c r="T93" s="25">
        <f t="shared" ca="1" si="169"/>
        <v>-6417.0527082929184</v>
      </c>
      <c r="U93" s="25">
        <f t="shared" ca="1" si="169"/>
        <v>-6442.1729517903168</v>
      </c>
      <c r="V93" s="25">
        <f t="shared" ca="1" si="169"/>
        <v>-6467.3915311845913</v>
      </c>
      <c r="W93" s="25">
        <f t="shared" ca="1" si="169"/>
        <v>-6492.7088314221937</v>
      </c>
      <c r="X93" s="25">
        <f t="shared" ca="1" si="169"/>
        <v>-6518.1252389564906</v>
      </c>
      <c r="Y93" s="25">
        <f t="shared" ca="1" si="169"/>
        <v>-6543.6411417536619</v>
      </c>
      <c r="Z93" s="25">
        <f t="shared" ca="1" si="169"/>
        <v>-6569.2569292986227</v>
      </c>
      <c r="AA93" s="25">
        <f t="shared" ca="1" si="169"/>
        <v>-6594.9729926009695</v>
      </c>
      <c r="AB93" s="25">
        <f t="shared" ca="1" si="169"/>
        <v>-6620.7897242009467</v>
      </c>
      <c r="AC93" s="25">
        <f t="shared" ca="1" si="169"/>
        <v>-6646.7075181754408</v>
      </c>
      <c r="AD93" s="25">
        <f t="shared" ca="1" si="169"/>
        <v>-6672.7267701439932</v>
      </c>
      <c r="AE93" s="25">
        <f t="shared" ca="1" si="169"/>
        <v>-6698.8478772748431</v>
      </c>
      <c r="AF93" s="25">
        <f t="shared" ca="1" si="169"/>
        <v>-6725.0712382909851</v>
      </c>
      <c r="AG93" s="25">
        <f t="shared" ca="1" si="169"/>
        <v>-6751.3972534762588</v>
      </c>
      <c r="AH93" s="25">
        <f t="shared" ca="1" si="169"/>
        <v>-6777.8263246814586</v>
      </c>
      <c r="AI93" s="25">
        <f t="shared" ca="1" si="169"/>
        <v>-6804.3588553304662</v>
      </c>
      <c r="AJ93" s="25">
        <f t="shared" ca="1" si="169"/>
        <v>-6830.9952504264093</v>
      </c>
      <c r="AK93" s="25">
        <f t="shared" ca="1" si="169"/>
        <v>-6857.7359165578446</v>
      </c>
      <c r="AL93" s="25">
        <f t="shared" ca="1" si="169"/>
        <v>-6884.5812619049639</v>
      </c>
      <c r="AM93" s="25">
        <f t="shared" ca="1" si="169"/>
        <v>-6911.5316962458228</v>
      </c>
      <c r="AN93" s="25">
        <f t="shared" ref="AN93" ca="1" si="170">SUM(AN89:AN92)</f>
        <v>-6190.3717050944433</v>
      </c>
      <c r="AO93" s="25">
        <f t="shared" ref="AO93" ca="1" si="171">SUM(AO89:AO92)</f>
        <v>-6165.1062994576168</v>
      </c>
      <c r="AP93" s="25">
        <f t="shared" ref="AP93" ca="1" si="172">SUM(AP89:AP92)</f>
        <v>-5649.1709672831912</v>
      </c>
      <c r="AQ93" s="25">
        <f t="shared" ref="AQ93" ca="1" si="173">SUM(AQ89:AQ92)</f>
        <v>-5617.3173542840086</v>
      </c>
      <c r="AR93" s="25">
        <f t="shared" ref="AR93" ca="1" si="174">SUM(AR89:AR92)</f>
        <v>-5257.3135478951672</v>
      </c>
      <c r="AS93" s="25">
        <f t="shared" ref="AS93" ca="1" si="175">SUM(AS89:AS92)</f>
        <v>-5197.9235401331453</v>
      </c>
      <c r="AT93" s="25">
        <f t="shared" ref="AT93" ca="1" si="176">SUM(AT89:AT92)</f>
        <v>-4798.3989638619023</v>
      </c>
      <c r="AU93" s="25">
        <f t="shared" ref="AU93" ca="1" si="177">SUM(AU89:AU92)</f>
        <v>-4745.952238288276</v>
      </c>
      <c r="AV93" s="25">
        <f t="shared" ref="AV93" ca="1" si="178">SUM(AV89:AV92)</f>
        <v>-4392.8643382554865</v>
      </c>
      <c r="AW93" s="25">
        <f t="shared" ref="AW93:AY93" ca="1" si="179">SUM(AW89:AW92)</f>
        <v>-4337.7835306408142</v>
      </c>
      <c r="AX93" s="25">
        <f t="shared" ca="1" si="179"/>
        <v>-3713.7353355770879</v>
      </c>
      <c r="AY93" s="91">
        <f t="shared" ca="1" si="179"/>
        <v>-3647.4904296247114</v>
      </c>
      <c r="AZ93" s="25">
        <f t="shared" ref="AZ93:BK93" ca="1" si="180">SUM(AZ89:AZ92)</f>
        <v>-2866.3654318930526</v>
      </c>
      <c r="BA93" s="25">
        <f t="shared" ca="1" si="180"/>
        <v>-2824.9661489058799</v>
      </c>
      <c r="BB93" s="25">
        <f t="shared" ca="1" si="180"/>
        <v>-2261.8950491054161</v>
      </c>
      <c r="BC93" s="25">
        <f t="shared" ca="1" si="180"/>
        <v>-2213.3779984744492</v>
      </c>
      <c r="BD93" s="25">
        <f t="shared" ca="1" si="180"/>
        <v>-1815.9580131701862</v>
      </c>
      <c r="BE93" s="25">
        <f t="shared" ca="1" si="180"/>
        <v>-1738.0529780916072</v>
      </c>
      <c r="BF93" s="25">
        <f t="shared" ca="1" si="180"/>
        <v>-1298.5043673107436</v>
      </c>
      <c r="BG93" s="25">
        <f t="shared" ca="1" si="180"/>
        <v>-1227.8646449841619</v>
      </c>
      <c r="BH93" s="25">
        <f t="shared" ca="1" si="180"/>
        <v>-837.5650084709863</v>
      </c>
      <c r="BI93" s="25">
        <f t="shared" ca="1" si="180"/>
        <v>-764.00831232118526</v>
      </c>
      <c r="BJ93" s="25">
        <f t="shared" ca="1" si="180"/>
        <v>-85.542562888281253</v>
      </c>
      <c r="BK93" s="25">
        <f t="shared" ca="1" si="180"/>
        <v>-2.3118729153281947E-12</v>
      </c>
    </row>
    <row r="94" spans="1:63" x14ac:dyDescent="0.25">
      <c r="B94" s="28"/>
    </row>
    <row r="95" spans="1:63" s="12" customFormat="1" x14ac:dyDescent="0.25">
      <c r="A95" s="12" t="s">
        <v>3</v>
      </c>
      <c r="E95" s="36" t="s">
        <v>67</v>
      </c>
      <c r="F95" s="36" t="s">
        <v>0</v>
      </c>
      <c r="G95" s="36" t="s">
        <v>68</v>
      </c>
      <c r="H95" s="36" t="s">
        <v>69</v>
      </c>
      <c r="I95" s="36" t="s">
        <v>70</v>
      </c>
      <c r="J95" s="36" t="s">
        <v>71</v>
      </c>
      <c r="K95" s="36" t="s">
        <v>42</v>
      </c>
      <c r="L95" s="36" t="s">
        <v>43</v>
      </c>
      <c r="M95" s="36" t="s">
        <v>44</v>
      </c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</row>
    <row r="96" spans="1:63" x14ac:dyDescent="0.25">
      <c r="B96" s="3" t="s">
        <v>26</v>
      </c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>
        <f ca="1">OFFSET(Data!$T$87,MONTH(AK$8),,1,1)</f>
        <v>9.5086544710048432E-2</v>
      </c>
      <c r="AM96" s="5">
        <f ca="1">OFFSET(Data!$T$87,MONTH(AL$8),,1,1)</f>
        <v>9.7948425541316761E-2</v>
      </c>
      <c r="AN96" s="5">
        <f ca="1">OFFSET(Data!$T$87,MONTH(AM$8),,1,1)</f>
        <v>7.3278642227321791E-2</v>
      </c>
      <c r="AO96" s="5">
        <f ca="1">OFFSET(Data!$T$87,MONTH(AN$8),,1,1)</f>
        <v>8.1716238489838403E-2</v>
      </c>
      <c r="AP96" s="5">
        <f ca="1">OFFSET(Data!$T$87,MONTH(AO$8),,1,1)</f>
        <v>7.4250293018988181E-2</v>
      </c>
      <c r="AQ96" s="5">
        <f ca="1">OFFSET(Data!$T$87,MONTH(AP$8),,1,1)</f>
        <v>6.9431344902179531E-2</v>
      </c>
      <c r="AR96" s="5">
        <f ca="1">OFFSET(Data!$T$87,MONTH(AQ$8),,1,1)</f>
        <v>8.7785960819175293E-2</v>
      </c>
      <c r="AS96" s="5">
        <f ca="1">OFFSET(Data!$T$87,MONTH(AR$8),,1,1)</f>
        <v>7.3811175776242757E-2</v>
      </c>
      <c r="AT96" s="5">
        <f ca="1">OFFSET(Data!$T$87,MONTH(AS$8),,1,1)</f>
        <v>6.9110578067721362E-2</v>
      </c>
      <c r="AU96" s="5">
        <f ca="1">OFFSET(Data!$T$87,MONTH(AT$8),,1,1)</f>
        <v>8.7498785761173203E-2</v>
      </c>
      <c r="AV96" s="5">
        <f ca="1">OFFSET(Data!$T$87,MONTH(AU$8),,1,1)</f>
        <v>8.2502701627279157E-2</v>
      </c>
      <c r="AW96" s="5">
        <f ca="1">OFFSET(Data!$T$87,MONTH(AV$8),,1,1)</f>
        <v>0.10757930905871514</v>
      </c>
      <c r="AX96" s="5">
        <f ca="1">AL96</f>
        <v>9.5086544710048432E-2</v>
      </c>
      <c r="AY96" s="5">
        <f t="shared" ref="AY96" ca="1" si="181">AM96</f>
        <v>9.7948425541316761E-2</v>
      </c>
      <c r="AZ96" s="5">
        <f t="shared" ref="AZ96" ca="1" si="182">AN96</f>
        <v>7.3278642227321791E-2</v>
      </c>
      <c r="BA96" s="5">
        <f t="shared" ref="BA96" ca="1" si="183">AO96</f>
        <v>8.1716238489838403E-2</v>
      </c>
      <c r="BB96" s="5">
        <f t="shared" ref="BB96" ca="1" si="184">AP96</f>
        <v>7.4250293018988181E-2</v>
      </c>
      <c r="BC96" s="5">
        <f t="shared" ref="BC96" ca="1" si="185">AQ96</f>
        <v>6.9431344902179531E-2</v>
      </c>
      <c r="BD96" s="5">
        <f t="shared" ref="BD96" ca="1" si="186">AR96</f>
        <v>8.7785960819175293E-2</v>
      </c>
      <c r="BE96" s="5">
        <f t="shared" ref="BE96" ca="1" si="187">AS96</f>
        <v>7.3811175776242757E-2</v>
      </c>
      <c r="BF96" s="5">
        <f t="shared" ref="BF96" ca="1" si="188">AT96</f>
        <v>6.9110578067721362E-2</v>
      </c>
      <c r="BG96" s="5">
        <f t="shared" ref="BG96" ca="1" si="189">AU96</f>
        <v>8.7498785761173203E-2</v>
      </c>
      <c r="BH96" s="5">
        <f t="shared" ref="BH96" ca="1" si="190">AV96</f>
        <v>8.2502701627279157E-2</v>
      </c>
      <c r="BI96" s="5">
        <f t="shared" ref="BI96" ca="1" si="191">AW96</f>
        <v>0.10757930905871514</v>
      </c>
    </row>
    <row r="97" spans="2:61" x14ac:dyDescent="0.25">
      <c r="C97" t="s">
        <v>13</v>
      </c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>
        <f ca="1">'Load Analysis kWh'!$M$32*'Deferral calc'!AL96</f>
        <v>585137.6369518789</v>
      </c>
      <c r="AM97" s="7">
        <f ca="1">'Load Analysis kWh'!$M$32*'Deferral calc'!AM96</f>
        <v>602748.90037461277</v>
      </c>
      <c r="AN97" s="7">
        <f ca="1">'Load Analysis kWh'!$M$32*'Deferral calc'!AN96</f>
        <v>450937.52941267641</v>
      </c>
      <c r="AO97" s="7">
        <f ca="1">'Load Analysis kWh'!$M$32*'Deferral calc'!AO96</f>
        <v>502860.28203407052</v>
      </c>
      <c r="AP97" s="7">
        <f ca="1">'Load Analysis kWh'!$M$32*'Deferral calc'!AP96</f>
        <v>456916.81333672476</v>
      </c>
      <c r="AQ97" s="7">
        <f ca="1">'Load Analysis kWh'!$M$32*'Deferral calc'!AQ96</f>
        <v>427262.27154785756</v>
      </c>
      <c r="AR97" s="7">
        <f ca="1">'Load Analysis kWh'!$M$32*'Deferral calc'!AR96</f>
        <v>540211.76001207845</v>
      </c>
      <c r="AS97" s="7">
        <f ca="1">'Load Analysis kWh'!$M$32*'Deferral calc'!AS96</f>
        <v>454214.60108841566</v>
      </c>
      <c r="AT97" s="7">
        <f ca="1">'Load Analysis kWh'!$M$32*'Deferral calc'!AT96</f>
        <v>425288.35664644087</v>
      </c>
      <c r="AU97" s="7">
        <f ca="1">'Load Analysis kWh'!$M$32*'Deferral calc'!AU96</f>
        <v>538444.56008549302</v>
      </c>
      <c r="AV97" s="7">
        <f ca="1">'Load Analysis kWh'!$M$32*'Deferral calc'!AV96</f>
        <v>507699.96974377875</v>
      </c>
      <c r="AW97" s="7">
        <f ca="1">'Load Analysis kWh'!$M$32*'Deferral calc'!AW96</f>
        <v>662014.82953749842</v>
      </c>
      <c r="AX97" s="7">
        <f ca="1">'Load Analysis kWh'!$M$33*'Deferral calc'!AX96</f>
        <v>582487.01058119035</v>
      </c>
      <c r="AY97" s="7">
        <f ca="1">'Load Analysis kWh'!$M$33*'Deferral calc'!AY96</f>
        <v>600018.49639896175</v>
      </c>
      <c r="AZ97" s="7">
        <f ca="1">'Load Analysis kWh'!$M$33*'Deferral calc'!AZ96</f>
        <v>448894.81872118718</v>
      </c>
      <c r="BA97" s="7">
        <f ca="1">'Load Analysis kWh'!$M$33*'Deferral calc'!BA96</f>
        <v>500582.36545486242</v>
      </c>
      <c r="BB97" s="7">
        <f ca="1">'Load Analysis kWh'!$M$33*'Deferral calc'!BB96</f>
        <v>454847.0169706078</v>
      </c>
      <c r="BC97" s="7">
        <f ca="1">'Load Analysis kWh'!$M$33*'Deferral calc'!BC96</f>
        <v>425326.80786778301</v>
      </c>
      <c r="BD97" s="7">
        <f ca="1">'Load Analysis kWh'!$M$33*'Deferral calc'!BD96</f>
        <v>537764.64424577239</v>
      </c>
      <c r="BE97" s="7">
        <f ca="1">'Load Analysis kWh'!$M$33*'Deferral calc'!BE96</f>
        <v>452157.04552615789</v>
      </c>
      <c r="BF97" s="7">
        <f ca="1">'Load Analysis kWh'!$M$33*'Deferral calc'!BF96</f>
        <v>423361.83464189834</v>
      </c>
      <c r="BG97" s="7">
        <f ca="1">'Load Analysis kWh'!$M$33*'Deferral calc'!BG96</f>
        <v>536005.44959253096</v>
      </c>
      <c r="BH97" s="7">
        <f ca="1">'Load Analysis kWh'!$M$33*'Deferral calc'!BH96</f>
        <v>505400.12976901524</v>
      </c>
      <c r="BI97" s="7">
        <f ca="1">'Load Analysis kWh'!$M$33*'Deferral calc'!BI96</f>
        <v>659015.95567578636</v>
      </c>
    </row>
    <row r="98" spans="2:61" x14ac:dyDescent="0.25"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</row>
    <row r="99" spans="2:61" x14ac:dyDescent="0.25">
      <c r="C99" t="s">
        <v>30</v>
      </c>
      <c r="E99" s="7">
        <f ca="1">OFFSET(Data!$E$62,E$12,,1,1)</f>
        <v>71</v>
      </c>
      <c r="F99" s="7">
        <f ca="1">OFFSET(Data!$E$62,F$12,,1,1)</f>
        <v>71</v>
      </c>
      <c r="G99" s="7">
        <f ca="1">OFFSET(Data!$E$62,G$12,,1,1)</f>
        <v>71</v>
      </c>
      <c r="H99" s="7">
        <f ca="1">OFFSET(Data!$E$62,H$12,,1,1)</f>
        <v>71</v>
      </c>
      <c r="I99" s="7">
        <f ca="1">OFFSET(Data!$E$62,I$12,,1,1)</f>
        <v>72</v>
      </c>
      <c r="J99" s="7">
        <f ca="1">OFFSET(Data!$E$62,J$12,,1,1)</f>
        <v>72</v>
      </c>
      <c r="K99" s="7">
        <f ca="1">OFFSET(Data!$E$62,K$12,,1,1)</f>
        <v>72</v>
      </c>
      <c r="L99" s="7">
        <f ca="1">OFFSET(Data!$E$62,L$12,,1,1)</f>
        <v>69</v>
      </c>
      <c r="M99" s="7">
        <f ca="1">OFFSET(Data!$E$62,M$12,,1,1)</f>
        <v>69</v>
      </c>
      <c r="N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</row>
    <row r="100" spans="2:61" x14ac:dyDescent="0.25">
      <c r="C100" t="s">
        <v>31</v>
      </c>
      <c r="E100" s="7">
        <f ca="1">OFFSET(Data!$I$62,E$12,,1,1)</f>
        <v>397076</v>
      </c>
      <c r="F100" s="7">
        <f ca="1">OFFSET(Data!$I$62,F$12,,1,1)</f>
        <v>406683</v>
      </c>
      <c r="G100" s="7">
        <f ca="1">OFFSET(Data!$I$62,G$12,,1,1)</f>
        <v>389848</v>
      </c>
      <c r="H100" s="7">
        <f ca="1">OFFSET(Data!$I$62,H$12,,1,1)</f>
        <v>436437</v>
      </c>
      <c r="I100" s="7">
        <f ca="1">OFFSET(Data!$I$62,I$12,,1,1)</f>
        <v>388753</v>
      </c>
      <c r="J100" s="7">
        <f ca="1">OFFSET(Data!$I$62,J$12,,1,1)</f>
        <v>369502</v>
      </c>
      <c r="K100" s="7">
        <f ca="1">OFFSET(Data!$I$62,K$12,,1,1)</f>
        <v>448828</v>
      </c>
      <c r="L100" s="7">
        <f ca="1">OFFSET(Data!$I$62,L$12,,1,1)</f>
        <v>488705</v>
      </c>
      <c r="M100" s="7">
        <f ca="1">OFFSET(Data!$I$62,M$12,,1,1)</f>
        <v>576846</v>
      </c>
      <c r="N100" s="30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</row>
    <row r="101" spans="2:61" x14ac:dyDescent="0.25">
      <c r="C101" t="s">
        <v>46</v>
      </c>
      <c r="E101" s="30">
        <f t="shared" ref="E101:M101" ca="1" si="192">E99*200</f>
        <v>14200</v>
      </c>
      <c r="F101" s="30">
        <f t="shared" ca="1" si="192"/>
        <v>14200</v>
      </c>
      <c r="G101" s="30">
        <f t="shared" ca="1" si="192"/>
        <v>14200</v>
      </c>
      <c r="H101" s="30">
        <f t="shared" ca="1" si="192"/>
        <v>14200</v>
      </c>
      <c r="I101" s="30">
        <f t="shared" ca="1" si="192"/>
        <v>14400</v>
      </c>
      <c r="J101" s="30">
        <f t="shared" ca="1" si="192"/>
        <v>14400</v>
      </c>
      <c r="K101" s="30">
        <f t="shared" ca="1" si="192"/>
        <v>14400</v>
      </c>
      <c r="L101" s="30">
        <f t="shared" ca="1" si="192"/>
        <v>13800</v>
      </c>
      <c r="M101" s="30">
        <f t="shared" ca="1" si="192"/>
        <v>13800</v>
      </c>
      <c r="N101" s="30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</row>
    <row r="102" spans="2:61" x14ac:dyDescent="0.25">
      <c r="C102" t="s">
        <v>47</v>
      </c>
      <c r="E102" s="30">
        <f t="shared" ref="E102:M102" ca="1" si="193">E100-E101</f>
        <v>382876</v>
      </c>
      <c r="F102" s="30">
        <f t="shared" ca="1" si="193"/>
        <v>392483</v>
      </c>
      <c r="G102" s="30">
        <f t="shared" ca="1" si="193"/>
        <v>375648</v>
      </c>
      <c r="H102" s="30">
        <f t="shared" ca="1" si="193"/>
        <v>422237</v>
      </c>
      <c r="I102" s="30">
        <f t="shared" ca="1" si="193"/>
        <v>374353</v>
      </c>
      <c r="J102" s="30">
        <f t="shared" ca="1" si="193"/>
        <v>355102</v>
      </c>
      <c r="K102" s="30">
        <f t="shared" ca="1" si="193"/>
        <v>434428</v>
      </c>
      <c r="L102" s="30">
        <f t="shared" ca="1" si="193"/>
        <v>474905</v>
      </c>
      <c r="M102" s="30">
        <f t="shared" ca="1" si="193"/>
        <v>563046</v>
      </c>
      <c r="N102" s="30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</row>
    <row r="103" spans="2:61" x14ac:dyDescent="0.25">
      <c r="E103" s="30"/>
      <c r="F103" s="30"/>
      <c r="G103" s="30"/>
      <c r="H103" s="30"/>
      <c r="I103" s="30"/>
      <c r="J103" s="30"/>
      <c r="K103" s="30"/>
      <c r="L103" s="30"/>
      <c r="M103" s="30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</row>
    <row r="104" spans="2:61" x14ac:dyDescent="0.25">
      <c r="B104" s="3" t="s">
        <v>37</v>
      </c>
      <c r="D104" t="s">
        <v>122</v>
      </c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</row>
    <row r="105" spans="2:61" x14ac:dyDescent="0.25">
      <c r="C105" t="s">
        <v>48</v>
      </c>
      <c r="D105">
        <v>5.83</v>
      </c>
      <c r="E105" s="42">
        <f t="shared" ref="E105:M105" ca="1" si="194">$D105*E99</f>
        <v>413.93</v>
      </c>
      <c r="F105" s="30">
        <f t="shared" ca="1" si="194"/>
        <v>413.93</v>
      </c>
      <c r="G105" s="30">
        <f t="shared" ca="1" si="194"/>
        <v>413.93</v>
      </c>
      <c r="H105" s="30">
        <f t="shared" ca="1" si="194"/>
        <v>413.93</v>
      </c>
      <c r="I105" s="30">
        <f t="shared" ca="1" si="194"/>
        <v>419.76</v>
      </c>
      <c r="J105" s="30">
        <f t="shared" ca="1" si="194"/>
        <v>419.76</v>
      </c>
      <c r="K105" s="30">
        <f t="shared" ca="1" si="194"/>
        <v>419.76</v>
      </c>
      <c r="L105" s="30">
        <f t="shared" ca="1" si="194"/>
        <v>402.27</v>
      </c>
      <c r="M105" s="30">
        <f t="shared" ca="1" si="194"/>
        <v>402.27</v>
      </c>
      <c r="N105" s="1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2:61" x14ac:dyDescent="0.25">
      <c r="C106" t="s">
        <v>32</v>
      </c>
      <c r="D106">
        <v>0.18815999999999999</v>
      </c>
      <c r="E106" s="31">
        <f t="shared" ref="E106:M106" ca="1" si="195">$D106*E101</f>
        <v>2671.8719999999998</v>
      </c>
      <c r="F106" s="7">
        <f t="shared" ca="1" si="195"/>
        <v>2671.8719999999998</v>
      </c>
      <c r="G106" s="7">
        <f t="shared" ca="1" si="195"/>
        <v>2671.8719999999998</v>
      </c>
      <c r="H106" s="7">
        <f t="shared" ca="1" si="195"/>
        <v>2671.8719999999998</v>
      </c>
      <c r="I106" s="7">
        <f t="shared" ca="1" si="195"/>
        <v>2709.5039999999999</v>
      </c>
      <c r="J106" s="7">
        <f t="shared" ca="1" si="195"/>
        <v>2709.5039999999999</v>
      </c>
      <c r="K106" s="7">
        <f t="shared" ca="1" si="195"/>
        <v>2709.5039999999999</v>
      </c>
      <c r="L106" s="7">
        <f t="shared" ca="1" si="195"/>
        <v>2596.6079999999997</v>
      </c>
      <c r="M106" s="7">
        <f t="shared" ca="1" si="195"/>
        <v>2596.6079999999997</v>
      </c>
      <c r="N106" s="31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</row>
    <row r="107" spans="2:61" x14ac:dyDescent="0.25">
      <c r="C107" t="s">
        <v>33</v>
      </c>
      <c r="D107">
        <v>0.11700000000000001</v>
      </c>
      <c r="E107" s="31">
        <f t="shared" ref="E107:M107" ca="1" si="196">$D107*E102</f>
        <v>44796.492000000006</v>
      </c>
      <c r="F107" s="7">
        <f t="shared" ca="1" si="196"/>
        <v>45920.511000000006</v>
      </c>
      <c r="G107" s="7">
        <f t="shared" ca="1" si="196"/>
        <v>43950.816000000006</v>
      </c>
      <c r="H107" s="7">
        <f t="shared" ca="1" si="196"/>
        <v>49401.728999999999</v>
      </c>
      <c r="I107" s="7">
        <f t="shared" ca="1" si="196"/>
        <v>43799.300999999999</v>
      </c>
      <c r="J107" s="7">
        <f t="shared" ca="1" si="196"/>
        <v>41546.934000000001</v>
      </c>
      <c r="K107" s="7">
        <f t="shared" ca="1" si="196"/>
        <v>50828.076000000001</v>
      </c>
      <c r="L107" s="7">
        <f t="shared" ca="1" si="196"/>
        <v>55563.885000000002</v>
      </c>
      <c r="M107" s="7">
        <f t="shared" ca="1" si="196"/>
        <v>65876.381999999998</v>
      </c>
      <c r="N107" s="31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</row>
    <row r="108" spans="2:61" x14ac:dyDescent="0.25">
      <c r="F108" s="7"/>
      <c r="G108" s="7"/>
      <c r="H108" s="7"/>
      <c r="I108" s="7"/>
      <c r="J108" s="7"/>
      <c r="K108" s="7"/>
      <c r="L108" s="7"/>
      <c r="M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</row>
    <row r="109" spans="2:61" x14ac:dyDescent="0.25">
      <c r="C109" t="s">
        <v>34</v>
      </c>
      <c r="E109" s="1">
        <f t="shared" ref="E109:M109" ca="1" si="197">SUM(E105:E108)</f>
        <v>47882.294000000009</v>
      </c>
      <c r="F109" s="30">
        <f t="shared" ca="1" si="197"/>
        <v>49006.313000000009</v>
      </c>
      <c r="G109" s="30">
        <f t="shared" ca="1" si="197"/>
        <v>47036.618000000002</v>
      </c>
      <c r="H109" s="30">
        <f t="shared" ca="1" si="197"/>
        <v>52487.531000000003</v>
      </c>
      <c r="I109" s="30">
        <f t="shared" ca="1" si="197"/>
        <v>46928.565000000002</v>
      </c>
      <c r="J109" s="30">
        <f t="shared" ca="1" si="197"/>
        <v>44676.198000000004</v>
      </c>
      <c r="K109" s="30">
        <f t="shared" ca="1" si="197"/>
        <v>53957.340000000004</v>
      </c>
      <c r="L109" s="30">
        <f t="shared" ca="1" si="197"/>
        <v>58562.762999999999</v>
      </c>
      <c r="M109" s="30">
        <f t="shared" ca="1" si="197"/>
        <v>68875.259999999995</v>
      </c>
      <c r="N109" s="1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</row>
    <row r="110" spans="2:61" x14ac:dyDescent="0.25">
      <c r="C110" t="s">
        <v>35</v>
      </c>
      <c r="E110" s="5">
        <f>3/30</f>
        <v>0.1</v>
      </c>
      <c r="F110" s="5">
        <v>1</v>
      </c>
      <c r="G110" s="5">
        <v>1</v>
      </c>
      <c r="H110" s="5">
        <v>1</v>
      </c>
      <c r="I110" s="5">
        <v>1</v>
      </c>
      <c r="J110" s="5">
        <v>1</v>
      </c>
      <c r="K110" s="5">
        <v>1</v>
      </c>
      <c r="L110" s="5">
        <v>1</v>
      </c>
      <c r="M110" s="5">
        <v>1</v>
      </c>
      <c r="N110" s="5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</row>
    <row r="111" spans="2:61" x14ac:dyDescent="0.25">
      <c r="E111" s="7">
        <f t="shared" ref="E111:M111" ca="1" si="198">E110*E109</f>
        <v>4788.2294000000011</v>
      </c>
      <c r="F111" s="7">
        <f ca="1">F110*F109</f>
        <v>49006.313000000009</v>
      </c>
      <c r="G111" s="7">
        <f t="shared" ca="1" si="198"/>
        <v>47036.618000000002</v>
      </c>
      <c r="H111" s="7">
        <f t="shared" ca="1" si="198"/>
        <v>52487.531000000003</v>
      </c>
      <c r="I111" s="7">
        <f t="shared" ca="1" si="198"/>
        <v>46928.565000000002</v>
      </c>
      <c r="J111" s="7">
        <f t="shared" ca="1" si="198"/>
        <v>44676.198000000004</v>
      </c>
      <c r="K111" s="7">
        <f t="shared" ca="1" si="198"/>
        <v>53957.340000000004</v>
      </c>
      <c r="L111" s="7">
        <f t="shared" ca="1" si="198"/>
        <v>58562.762999999999</v>
      </c>
      <c r="M111" s="7">
        <f t="shared" ca="1" si="198"/>
        <v>68875.259999999995</v>
      </c>
      <c r="N111" s="7"/>
      <c r="O111" s="7"/>
      <c r="P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</row>
    <row r="112" spans="2:61" x14ac:dyDescent="0.25">
      <c r="E112" s="7"/>
      <c r="F112" s="7"/>
      <c r="G112" s="7"/>
      <c r="H112" s="7"/>
      <c r="I112" s="7"/>
      <c r="J112" s="7"/>
      <c r="K112" s="7"/>
      <c r="L112" s="7"/>
      <c r="M112" s="7"/>
      <c r="N112" s="6"/>
      <c r="O112" s="7"/>
      <c r="P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</row>
    <row r="113" spans="2:38" x14ac:dyDescent="0.25">
      <c r="B113" s="3" t="s">
        <v>38</v>
      </c>
      <c r="D113" t="s">
        <v>121</v>
      </c>
      <c r="P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</row>
    <row r="114" spans="2:38" x14ac:dyDescent="0.25">
      <c r="C114" t="s">
        <v>48</v>
      </c>
      <c r="D114">
        <v>6.35</v>
      </c>
      <c r="E114" s="7">
        <f t="shared" ref="E114:M114" ca="1" si="199">$D114*E99</f>
        <v>450.84999999999997</v>
      </c>
      <c r="F114" s="7">
        <f t="shared" ca="1" si="199"/>
        <v>450.84999999999997</v>
      </c>
      <c r="G114" s="7">
        <f t="shared" ca="1" si="199"/>
        <v>450.84999999999997</v>
      </c>
      <c r="H114" s="7">
        <f t="shared" ca="1" si="199"/>
        <v>450.84999999999997</v>
      </c>
      <c r="I114" s="7">
        <f t="shared" ca="1" si="199"/>
        <v>457.2</v>
      </c>
      <c r="J114" s="7">
        <f t="shared" ca="1" si="199"/>
        <v>457.2</v>
      </c>
      <c r="K114" s="7">
        <f t="shared" ca="1" si="199"/>
        <v>457.2</v>
      </c>
      <c r="L114" s="7">
        <f t="shared" ca="1" si="199"/>
        <v>438.15</v>
      </c>
      <c r="M114" s="7">
        <f t="shared" ca="1" si="199"/>
        <v>438.15</v>
      </c>
      <c r="N114" s="7"/>
      <c r="O114" s="7"/>
      <c r="P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</row>
    <row r="115" spans="2:38" x14ac:dyDescent="0.25">
      <c r="C115" t="s">
        <v>32</v>
      </c>
      <c r="D115">
        <v>0.204763</v>
      </c>
      <c r="E115" s="7">
        <f ca="1">$D115*E101</f>
        <v>2907.6345999999999</v>
      </c>
      <c r="F115" s="7">
        <f t="shared" ref="F115:M115" ca="1" si="200">$D115*F101</f>
        <v>2907.6345999999999</v>
      </c>
      <c r="G115" s="7">
        <f t="shared" ca="1" si="200"/>
        <v>2907.6345999999999</v>
      </c>
      <c r="H115" s="7">
        <f t="shared" ca="1" si="200"/>
        <v>2907.6345999999999</v>
      </c>
      <c r="I115" s="7">
        <f t="shared" ca="1" si="200"/>
        <v>2948.5871999999999</v>
      </c>
      <c r="J115" s="7">
        <f t="shared" ca="1" si="200"/>
        <v>2948.5871999999999</v>
      </c>
      <c r="K115" s="7">
        <f t="shared" ca="1" si="200"/>
        <v>2948.5871999999999</v>
      </c>
      <c r="L115" s="7">
        <f t="shared" ca="1" si="200"/>
        <v>2825.7294000000002</v>
      </c>
      <c r="M115" s="7">
        <f t="shared" ca="1" si="200"/>
        <v>2825.7294000000002</v>
      </c>
      <c r="N115" s="7"/>
      <c r="O115" s="7"/>
      <c r="P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</row>
    <row r="116" spans="2:38" x14ac:dyDescent="0.25">
      <c r="C116" t="s">
        <v>33</v>
      </c>
      <c r="D116">
        <v>0.12732399999999999</v>
      </c>
      <c r="E116" s="7">
        <f ca="1">$D116*E102</f>
        <v>48749.303823999995</v>
      </c>
      <c r="F116" s="7">
        <f t="shared" ref="F116:M116" ca="1" si="201">$D116*F102</f>
        <v>49972.505491999997</v>
      </c>
      <c r="G116" s="7">
        <f t="shared" ca="1" si="201"/>
        <v>47829.005952</v>
      </c>
      <c r="H116" s="7">
        <f t="shared" ca="1" si="201"/>
        <v>53760.903787999996</v>
      </c>
      <c r="I116" s="7">
        <f t="shared" ca="1" si="201"/>
        <v>47664.121371999994</v>
      </c>
      <c r="J116" s="7">
        <f t="shared" ca="1" si="201"/>
        <v>45213.007047999999</v>
      </c>
      <c r="K116" s="7">
        <f t="shared" ca="1" si="201"/>
        <v>55313.110671999995</v>
      </c>
      <c r="L116" s="7">
        <f t="shared" ca="1" si="201"/>
        <v>60466.804219999998</v>
      </c>
      <c r="M116" s="7">
        <f t="shared" ca="1" si="201"/>
        <v>71689.268903999997</v>
      </c>
      <c r="N116" s="7"/>
      <c r="O116" s="7"/>
      <c r="P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</row>
    <row r="117" spans="2:38" x14ac:dyDescent="0.25"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</row>
    <row r="118" spans="2:38" x14ac:dyDescent="0.25">
      <c r="C118" t="s">
        <v>34</v>
      </c>
      <c r="E118" s="7">
        <f ca="1">SUM(E114:E117)</f>
        <v>52107.788423999998</v>
      </c>
      <c r="F118" s="7">
        <f t="shared" ref="F118:M118" ca="1" si="202">SUM(F114:F117)</f>
        <v>53330.990091999993</v>
      </c>
      <c r="G118" s="7">
        <f t="shared" ca="1" si="202"/>
        <v>51187.490552000003</v>
      </c>
      <c r="H118" s="7">
        <f t="shared" ca="1" si="202"/>
        <v>57119.388387999992</v>
      </c>
      <c r="I118" s="7">
        <f t="shared" ca="1" si="202"/>
        <v>51069.908571999993</v>
      </c>
      <c r="J118" s="7">
        <f t="shared" ca="1" si="202"/>
        <v>48618.794247999998</v>
      </c>
      <c r="K118" s="7">
        <f t="shared" ca="1" si="202"/>
        <v>58718.897871999994</v>
      </c>
      <c r="L118" s="7">
        <f t="shared" ca="1" si="202"/>
        <v>63730.683619999996</v>
      </c>
      <c r="M118" s="7">
        <f t="shared" ca="1" si="202"/>
        <v>74953.148304000002</v>
      </c>
      <c r="N118" s="7"/>
      <c r="O118" s="7"/>
      <c r="P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</row>
    <row r="119" spans="2:38" x14ac:dyDescent="0.25">
      <c r="C119" t="s">
        <v>35</v>
      </c>
      <c r="E119" s="9">
        <f>E110</f>
        <v>0.1</v>
      </c>
      <c r="F119" s="9">
        <f t="shared" ref="F119:M119" si="203">F110</f>
        <v>1</v>
      </c>
      <c r="G119" s="9">
        <f t="shared" si="203"/>
        <v>1</v>
      </c>
      <c r="H119" s="9">
        <f t="shared" si="203"/>
        <v>1</v>
      </c>
      <c r="I119" s="9">
        <f t="shared" si="203"/>
        <v>1</v>
      </c>
      <c r="J119" s="9">
        <f t="shared" si="203"/>
        <v>1</v>
      </c>
      <c r="K119" s="9">
        <f t="shared" si="203"/>
        <v>1</v>
      </c>
      <c r="L119" s="9">
        <f t="shared" si="203"/>
        <v>1</v>
      </c>
      <c r="M119" s="9">
        <f t="shared" si="203"/>
        <v>1</v>
      </c>
      <c r="N119" s="9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</row>
    <row r="120" spans="2:38" x14ac:dyDescent="0.25">
      <c r="E120" s="7">
        <f ca="1">E119*E118</f>
        <v>5210.7788424</v>
      </c>
      <c r="F120" s="7">
        <f t="shared" ref="F120:M120" ca="1" si="204">F119*F118</f>
        <v>53330.990091999993</v>
      </c>
      <c r="G120" s="7">
        <f t="shared" ca="1" si="204"/>
        <v>51187.490552000003</v>
      </c>
      <c r="H120" s="7">
        <f t="shared" ca="1" si="204"/>
        <v>57119.388387999992</v>
      </c>
      <c r="I120" s="7">
        <f t="shared" ca="1" si="204"/>
        <v>51069.908571999993</v>
      </c>
      <c r="J120" s="7">
        <f t="shared" ca="1" si="204"/>
        <v>48618.794247999998</v>
      </c>
      <c r="K120" s="7">
        <f t="shared" ca="1" si="204"/>
        <v>58718.897871999994</v>
      </c>
      <c r="L120" s="7">
        <f t="shared" ca="1" si="204"/>
        <v>63730.683619999996</v>
      </c>
      <c r="M120" s="7">
        <f t="shared" ca="1" si="204"/>
        <v>74953.148304000002</v>
      </c>
      <c r="N120" s="7"/>
      <c r="O120" s="7"/>
      <c r="P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</row>
    <row r="121" spans="2:38" x14ac:dyDescent="0.25">
      <c r="C121" s="3" t="s">
        <v>25</v>
      </c>
      <c r="E121" s="33">
        <f ca="1">E120-E111</f>
        <v>422.54944239999895</v>
      </c>
      <c r="F121" s="33">
        <f t="shared" ref="F121:M121" ca="1" si="205">F120-F111</f>
        <v>4324.6770919999835</v>
      </c>
      <c r="G121" s="33">
        <f t="shared" ca="1" si="205"/>
        <v>4150.8725520000007</v>
      </c>
      <c r="H121" s="33">
        <f t="shared" ca="1" si="205"/>
        <v>4631.8573879999894</v>
      </c>
      <c r="I121" s="33">
        <f t="shared" ca="1" si="205"/>
        <v>4141.3435719999907</v>
      </c>
      <c r="J121" s="33">
        <f t="shared" ca="1" si="205"/>
        <v>3942.5962479999944</v>
      </c>
      <c r="K121" s="33">
        <f t="shared" ca="1" si="205"/>
        <v>4761.5578719999903</v>
      </c>
      <c r="L121" s="33">
        <f t="shared" ca="1" si="205"/>
        <v>5167.9206199999971</v>
      </c>
      <c r="M121" s="33">
        <f t="shared" ca="1" si="205"/>
        <v>6077.8883040000073</v>
      </c>
      <c r="N121" s="33"/>
      <c r="O121" s="7"/>
      <c r="P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</row>
    <row r="122" spans="2:38" x14ac:dyDescent="0.25">
      <c r="C122" t="s">
        <v>36</v>
      </c>
      <c r="E122" s="9">
        <f ca="1">E121/E111</f>
        <v>8.8247535174484096E-2</v>
      </c>
      <c r="F122" s="9">
        <f t="shared" ref="F122:M122" ca="1" si="206">F121/F111</f>
        <v>8.8247346663275453E-2</v>
      </c>
      <c r="G122" s="9">
        <f t="shared" ca="1" si="206"/>
        <v>8.8247682943531372E-2</v>
      </c>
      <c r="H122" s="9">
        <f t="shared" ca="1" si="206"/>
        <v>8.8246814048082947E-2</v>
      </c>
      <c r="I122" s="9">
        <f t="shared" ca="1" si="206"/>
        <v>8.8247820320096954E-2</v>
      </c>
      <c r="J122" s="9">
        <f t="shared" ca="1" si="206"/>
        <v>8.8248249056466124E-2</v>
      </c>
      <c r="K122" s="9">
        <f t="shared" ca="1" si="206"/>
        <v>8.8246712532530136E-2</v>
      </c>
      <c r="L122" s="9">
        <f t="shared" ca="1" si="206"/>
        <v>8.824584693860836E-2</v>
      </c>
      <c r="M122" s="9">
        <f t="shared" ca="1" si="206"/>
        <v>8.824486911555772E-2</v>
      </c>
      <c r="N122" s="9"/>
      <c r="O122" s="7"/>
      <c r="P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</row>
    <row r="123" spans="2:38" x14ac:dyDescent="0.25"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7"/>
      <c r="P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</row>
    <row r="124" spans="2:38" x14ac:dyDescent="0.25">
      <c r="C124" s="115" t="s">
        <v>110</v>
      </c>
      <c r="D124" s="115"/>
      <c r="E124" s="116">
        <f ca="1">E118/E99</f>
        <v>733.91251301408454</v>
      </c>
      <c r="F124" s="116">
        <f t="shared" ref="F124:M124" ca="1" si="207">F118/F99</f>
        <v>751.14070552112662</v>
      </c>
      <c r="G124" s="116">
        <f t="shared" ca="1" si="207"/>
        <v>720.95057115492966</v>
      </c>
      <c r="H124" s="116">
        <f t="shared" ca="1" si="207"/>
        <v>804.49842799999988</v>
      </c>
      <c r="I124" s="116">
        <f t="shared" ca="1" si="207"/>
        <v>709.30428572222218</v>
      </c>
      <c r="J124" s="116">
        <f t="shared" ca="1" si="207"/>
        <v>675.26103122222219</v>
      </c>
      <c r="K124" s="116">
        <f t="shared" ca="1" si="207"/>
        <v>815.54024822222209</v>
      </c>
      <c r="L124" s="116">
        <f t="shared" ca="1" si="207"/>
        <v>923.63309594202894</v>
      </c>
      <c r="M124" s="116">
        <f t="shared" ca="1" si="207"/>
        <v>1086.2775116521739</v>
      </c>
      <c r="N124" s="6"/>
      <c r="O124" s="7"/>
      <c r="P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</row>
    <row r="125" spans="2:38" x14ac:dyDescent="0.25">
      <c r="C125" s="115" t="s">
        <v>111</v>
      </c>
      <c r="D125" s="115"/>
      <c r="E125" s="116">
        <f ca="1">$D$129*E100/E99/100</f>
        <v>19.978124588095842</v>
      </c>
      <c r="F125" s="116">
        <f t="shared" ref="F125:M125" ca="1" si="208">$D$129*F100/F99/100</f>
        <v>20.461482542033721</v>
      </c>
      <c r="G125" s="116">
        <f t="shared" ca="1" si="208"/>
        <v>19.614461499612133</v>
      </c>
      <c r="H125" s="116">
        <f t="shared" ca="1" si="208"/>
        <v>21.958498526364689</v>
      </c>
      <c r="I125" s="116">
        <f t="shared" ca="1" si="208"/>
        <v>19.287710756872936</v>
      </c>
      <c r="J125" s="116">
        <f t="shared" ca="1" si="208"/>
        <v>18.332585729463343</v>
      </c>
      <c r="K125" s="116">
        <f t="shared" ca="1" si="208"/>
        <v>22.268290260360089</v>
      </c>
      <c r="L125" s="116">
        <f t="shared" ca="1" si="208"/>
        <v>25.300966943523896</v>
      </c>
      <c r="M125" s="116">
        <f t="shared" ca="1" si="208"/>
        <v>29.864154402971085</v>
      </c>
      <c r="N125" s="6"/>
      <c r="O125" s="7"/>
      <c r="P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</row>
    <row r="126" spans="2:38" x14ac:dyDescent="0.25">
      <c r="C126" s="115" t="s">
        <v>138</v>
      </c>
      <c r="D126" s="115"/>
      <c r="E126" s="117">
        <f ca="1">E125/E124</f>
        <v>2.7221397964790443E-2</v>
      </c>
      <c r="F126" s="117">
        <f t="shared" ref="F126:M126" ca="1" si="209">F125/F124</f>
        <v>2.7240545468558981E-2</v>
      </c>
      <c r="G126" s="117">
        <f t="shared" ca="1" si="209"/>
        <v>2.7206388737844631E-2</v>
      </c>
      <c r="H126" s="117">
        <f t="shared" ca="1" si="209"/>
        <v>2.7294644417086036E-2</v>
      </c>
      <c r="I126" s="117">
        <f t="shared" ca="1" si="209"/>
        <v>2.7192435101719366E-2</v>
      </c>
      <c r="J126" s="117">
        <f t="shared" ca="1" si="209"/>
        <v>2.7148887440285679E-2</v>
      </c>
      <c r="K126" s="117">
        <f t="shared" ca="1" si="209"/>
        <v>2.7304955590974494E-2</v>
      </c>
      <c r="L126" s="117">
        <f t="shared" ca="1" si="209"/>
        <v>2.7392876083244953E-2</v>
      </c>
      <c r="M126" s="117">
        <f t="shared" ca="1" si="209"/>
        <v>2.7492196130940054E-2</v>
      </c>
      <c r="N126" s="6"/>
      <c r="O126" s="7"/>
      <c r="P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</row>
    <row r="127" spans="2:38" ht="15.75" thickBot="1" x14ac:dyDescent="0.3">
      <c r="B127" s="3" t="s">
        <v>14</v>
      </c>
      <c r="E127" s="7"/>
      <c r="F127" s="7"/>
      <c r="G127" s="7"/>
      <c r="H127" s="7"/>
      <c r="I127" s="7"/>
      <c r="J127" s="7"/>
      <c r="K127" s="7"/>
      <c r="L127" s="7"/>
      <c r="M127" s="7"/>
    </row>
    <row r="128" spans="2:38" x14ac:dyDescent="0.25">
      <c r="B128" s="113" t="s">
        <v>41</v>
      </c>
      <c r="C128" s="109"/>
      <c r="D128" s="110"/>
      <c r="E128" s="7"/>
      <c r="F128" s="7"/>
      <c r="G128" s="7"/>
      <c r="H128" s="7"/>
      <c r="I128" s="7"/>
      <c r="J128" s="7"/>
      <c r="K128" s="7"/>
      <c r="L128" s="7"/>
      <c r="M128" s="7"/>
    </row>
    <row r="129" spans="1:63" ht="15.75" thickBot="1" x14ac:dyDescent="0.3">
      <c r="B129" s="114"/>
      <c r="C129" s="111" t="s">
        <v>27</v>
      </c>
      <c r="D129" s="112">
        <v>0.35722301165389114</v>
      </c>
      <c r="E129" s="7"/>
      <c r="F129" s="7"/>
      <c r="G129" s="7"/>
      <c r="H129" s="7"/>
      <c r="I129" s="7"/>
      <c r="J129" s="7"/>
      <c r="K129" s="7"/>
      <c r="L129" s="7"/>
      <c r="M129" s="7"/>
      <c r="Y129" s="7">
        <f>$D$129*Y97/100</f>
        <v>0</v>
      </c>
      <c r="Z129" s="7">
        <f t="shared" ref="Z129:AY129" si="210">$D$129*Z97/100</f>
        <v>0</v>
      </c>
      <c r="AA129" s="7">
        <f t="shared" si="210"/>
        <v>0</v>
      </c>
      <c r="AB129" s="7">
        <f t="shared" si="210"/>
        <v>0</v>
      </c>
      <c r="AC129" s="7">
        <f t="shared" si="210"/>
        <v>0</v>
      </c>
      <c r="AD129" s="7">
        <f t="shared" si="210"/>
        <v>0</v>
      </c>
      <c r="AE129" s="7">
        <f t="shared" si="210"/>
        <v>0</v>
      </c>
      <c r="AF129" s="7">
        <f t="shared" si="210"/>
        <v>0</v>
      </c>
      <c r="AG129" s="7">
        <f t="shared" si="210"/>
        <v>0</v>
      </c>
      <c r="AH129" s="7">
        <f t="shared" si="210"/>
        <v>0</v>
      </c>
      <c r="AI129" s="7">
        <f t="shared" si="210"/>
        <v>0</v>
      </c>
      <c r="AJ129" s="7">
        <f t="shared" si="210"/>
        <v>0</v>
      </c>
      <c r="AK129" s="7">
        <f t="shared" si="210"/>
        <v>0</v>
      </c>
      <c r="AL129" s="7">
        <f t="shared" ca="1" si="210"/>
        <v>2090.2462890399138</v>
      </c>
      <c r="AM129" s="7">
        <f t="shared" ca="1" si="210"/>
        <v>2153.1577746289036</v>
      </c>
      <c r="AN129" s="7">
        <f t="shared" ca="1" si="210"/>
        <v>1610.852623245614</v>
      </c>
      <c r="AO129" s="7">
        <f t="shared" ca="1" si="210"/>
        <v>1796.3326438933575</v>
      </c>
      <c r="AP129" s="7">
        <f t="shared" ca="1" si="210"/>
        <v>1632.2120013544363</v>
      </c>
      <c r="AQ129" s="7">
        <f t="shared" ca="1" si="210"/>
        <v>1526.2791540840833</v>
      </c>
      <c r="AR129" s="7">
        <f t="shared" ca="1" si="210"/>
        <v>1929.7607184236374</v>
      </c>
      <c r="AS129" s="7">
        <f t="shared" ca="1" si="210"/>
        <v>1622.5590773797462</v>
      </c>
      <c r="AT129" s="7">
        <f t="shared" ca="1" si="210"/>
        <v>1519.2278758257576</v>
      </c>
      <c r="AU129" s="7">
        <f t="shared" ca="1" si="210"/>
        <v>1923.4478736239437</v>
      </c>
      <c r="AV129" s="7">
        <f t="shared" ca="1" si="210"/>
        <v>1813.6211220846205</v>
      </c>
      <c r="AW129" s="7">
        <f t="shared" ca="1" si="210"/>
        <v>2364.8693116692257</v>
      </c>
      <c r="AX129" s="7">
        <f t="shared" ca="1" si="210"/>
        <v>2080.7776416908478</v>
      </c>
      <c r="AY129" s="7">
        <f t="shared" ca="1" si="210"/>
        <v>2143.4041433167654</v>
      </c>
      <c r="AZ129" s="7">
        <f t="shared" ref="AZ129:BI129" ca="1" si="211">$D$129*AZ97/100</f>
        <v>1603.5555905941001</v>
      </c>
      <c r="BA129" s="7">
        <f t="shared" ca="1" si="211"/>
        <v>1788.1954016861471</v>
      </c>
      <c r="BB129" s="7">
        <f t="shared" ca="1" si="211"/>
        <v>1624.8182124402906</v>
      </c>
      <c r="BC129" s="7">
        <f t="shared" ca="1" si="211"/>
        <v>1519.3652324366537</v>
      </c>
      <c r="BD129" s="7">
        <f t="shared" ca="1" si="211"/>
        <v>1921.0190577845817</v>
      </c>
      <c r="BE129" s="7">
        <f t="shared" ca="1" si="211"/>
        <v>1615.2090154337968</v>
      </c>
      <c r="BF129" s="7">
        <f t="shared" ca="1" si="211"/>
        <v>1512.3458959009558</v>
      </c>
      <c r="BG129" s="7">
        <f t="shared" ca="1" si="211"/>
        <v>1914.7348096634187</v>
      </c>
      <c r="BH129" s="7">
        <f t="shared" ca="1" si="211"/>
        <v>1805.4055644635505</v>
      </c>
      <c r="BI129" s="7">
        <f t="shared" ca="1" si="211"/>
        <v>2354.1566441447162</v>
      </c>
      <c r="BJ129" s="7"/>
      <c r="BK129" s="7"/>
    </row>
    <row r="131" spans="1:63" s="3" customFormat="1" x14ac:dyDescent="0.25">
      <c r="C131" s="3" t="s">
        <v>9</v>
      </c>
      <c r="G131" s="89">
        <f>G88</f>
        <v>45092</v>
      </c>
      <c r="H131" s="89">
        <f t="shared" ref="H131:AW131" si="212">H88</f>
        <v>45122</v>
      </c>
      <c r="I131" s="89">
        <f t="shared" si="212"/>
        <v>45153</v>
      </c>
      <c r="J131" s="89">
        <f t="shared" si="212"/>
        <v>45184</v>
      </c>
      <c r="K131" s="89">
        <f t="shared" si="212"/>
        <v>45214</v>
      </c>
      <c r="L131" s="89">
        <f t="shared" si="212"/>
        <v>45245</v>
      </c>
      <c r="M131" s="89">
        <f t="shared" si="212"/>
        <v>45275</v>
      </c>
      <c r="N131" s="89">
        <f t="shared" si="212"/>
        <v>45306</v>
      </c>
      <c r="O131" s="89">
        <f t="shared" si="212"/>
        <v>45337</v>
      </c>
      <c r="P131" s="89">
        <f t="shared" si="212"/>
        <v>45366</v>
      </c>
      <c r="Q131" s="89">
        <f t="shared" si="212"/>
        <v>45397</v>
      </c>
      <c r="R131" s="89">
        <f t="shared" si="212"/>
        <v>45427</v>
      </c>
      <c r="S131" s="89">
        <f t="shared" si="212"/>
        <v>45458</v>
      </c>
      <c r="T131" s="89">
        <f t="shared" si="212"/>
        <v>45488</v>
      </c>
      <c r="U131" s="89">
        <f t="shared" si="212"/>
        <v>45519</v>
      </c>
      <c r="V131" s="89">
        <f t="shared" si="212"/>
        <v>45550</v>
      </c>
      <c r="W131" s="89">
        <f t="shared" si="212"/>
        <v>45580</v>
      </c>
      <c r="X131" s="89">
        <f t="shared" si="212"/>
        <v>45611</v>
      </c>
      <c r="Y131" s="89">
        <f t="shared" si="212"/>
        <v>45641</v>
      </c>
      <c r="Z131" s="89">
        <f t="shared" si="212"/>
        <v>45672</v>
      </c>
      <c r="AA131" s="89">
        <f t="shared" si="212"/>
        <v>45703</v>
      </c>
      <c r="AB131" s="89">
        <f t="shared" si="212"/>
        <v>45731</v>
      </c>
      <c r="AC131" s="89">
        <f t="shared" si="212"/>
        <v>45762</v>
      </c>
      <c r="AD131" s="89">
        <f t="shared" si="212"/>
        <v>45792</v>
      </c>
      <c r="AE131" s="89">
        <f t="shared" si="212"/>
        <v>45823</v>
      </c>
      <c r="AF131" s="89">
        <f t="shared" si="212"/>
        <v>45853</v>
      </c>
      <c r="AG131" s="89">
        <f t="shared" si="212"/>
        <v>45884</v>
      </c>
      <c r="AH131" s="89">
        <f t="shared" si="212"/>
        <v>45915</v>
      </c>
      <c r="AI131" s="89">
        <f t="shared" si="212"/>
        <v>45945</v>
      </c>
      <c r="AJ131" s="89">
        <f t="shared" si="212"/>
        <v>45976</v>
      </c>
      <c r="AK131" s="89">
        <f t="shared" si="212"/>
        <v>46006</v>
      </c>
      <c r="AL131" s="89">
        <f t="shared" si="212"/>
        <v>46037</v>
      </c>
      <c r="AM131" s="89">
        <f t="shared" si="212"/>
        <v>46068</v>
      </c>
      <c r="AN131" s="89">
        <f t="shared" si="212"/>
        <v>46096</v>
      </c>
      <c r="AO131" s="89">
        <f t="shared" si="212"/>
        <v>46127</v>
      </c>
      <c r="AP131" s="89">
        <f t="shared" si="212"/>
        <v>46157</v>
      </c>
      <c r="AQ131" s="89">
        <f t="shared" si="212"/>
        <v>46188</v>
      </c>
      <c r="AR131" s="89">
        <f t="shared" si="212"/>
        <v>46218</v>
      </c>
      <c r="AS131" s="89">
        <f t="shared" si="212"/>
        <v>46249</v>
      </c>
      <c r="AT131" s="89">
        <f t="shared" si="212"/>
        <v>46280</v>
      </c>
      <c r="AU131" s="89">
        <f t="shared" si="212"/>
        <v>46310</v>
      </c>
      <c r="AV131" s="89">
        <f t="shared" si="212"/>
        <v>46341</v>
      </c>
      <c r="AW131" s="89">
        <f t="shared" si="212"/>
        <v>46371</v>
      </c>
      <c r="AX131" s="89">
        <f t="shared" ref="AX131:AY131" si="213">AX88</f>
        <v>46402</v>
      </c>
      <c r="AY131" s="89">
        <f t="shared" si="213"/>
        <v>46433</v>
      </c>
      <c r="AZ131" s="89">
        <f t="shared" ref="AZ131:BK131" si="214">AZ88</f>
        <v>46461</v>
      </c>
      <c r="BA131" s="89">
        <f t="shared" si="214"/>
        <v>46492</v>
      </c>
      <c r="BB131" s="89">
        <f t="shared" si="214"/>
        <v>46522</v>
      </c>
      <c r="BC131" s="89">
        <f t="shared" si="214"/>
        <v>46553</v>
      </c>
      <c r="BD131" s="89">
        <f t="shared" si="214"/>
        <v>46583</v>
      </c>
      <c r="BE131" s="89">
        <f t="shared" si="214"/>
        <v>46614</v>
      </c>
      <c r="BF131" s="89">
        <f t="shared" si="214"/>
        <v>46645</v>
      </c>
      <c r="BG131" s="89">
        <f t="shared" si="214"/>
        <v>46675</v>
      </c>
      <c r="BH131" s="89">
        <f t="shared" si="214"/>
        <v>46706</v>
      </c>
      <c r="BI131" s="89">
        <f t="shared" si="214"/>
        <v>46736</v>
      </c>
      <c r="BJ131" s="89">
        <f t="shared" si="214"/>
        <v>46767</v>
      </c>
      <c r="BK131" s="89">
        <f t="shared" si="214"/>
        <v>46798</v>
      </c>
    </row>
    <row r="132" spans="1:63" x14ac:dyDescent="0.25">
      <c r="C132" t="s">
        <v>10</v>
      </c>
      <c r="E132" s="8">
        <v>0</v>
      </c>
      <c r="F132" s="24">
        <f t="shared" ref="F132" si="215">E136</f>
        <v>0</v>
      </c>
      <c r="G132" s="34">
        <f t="shared" ref="G132" si="216">F136</f>
        <v>0</v>
      </c>
      <c r="H132" s="24">
        <f t="shared" ref="H132" ca="1" si="217">G136</f>
        <v>-423.37650003574663</v>
      </c>
      <c r="I132" s="24">
        <f t="shared" ref="I132" ca="1" si="218">H136</f>
        <v>-4758.175651885319</v>
      </c>
      <c r="J132" s="24">
        <f t="shared" ref="J132" ca="1" si="219">I136</f>
        <v>-8935.7991132823008</v>
      </c>
      <c r="K132" s="24">
        <f t="shared" ref="K132" ca="1" si="220">J136</f>
        <v>-13611.702600813327</v>
      </c>
      <c r="L132" s="24">
        <f t="shared" ref="L132" ca="1" si="221">K136</f>
        <v>-17814.436515252768</v>
      </c>
      <c r="M132" s="24">
        <f t="shared" ref="M132" ca="1" si="222">L136</f>
        <v>-21834.486151047229</v>
      </c>
      <c r="N132" s="24">
        <f t="shared" ref="N132" ca="1" si="223">M136</f>
        <v>-26690.837284532288</v>
      </c>
      <c r="O132" s="24">
        <f t="shared" ref="O132" ca="1" si="224">N136</f>
        <v>-31973.357250578072</v>
      </c>
      <c r="P132" s="24">
        <f t="shared" ref="P132" ca="1" si="225">O136</f>
        <v>-38188.304976811043</v>
      </c>
      <c r="Q132" s="24">
        <f t="shared" ref="Q132" ca="1" si="226">P136</f>
        <v>-38337.797206870287</v>
      </c>
      <c r="R132" s="24">
        <f t="shared" ref="R132" ca="1" si="227">Q136</f>
        <v>-38487.874640354028</v>
      </c>
      <c r="S132" s="24">
        <f t="shared" ref="S132" ca="1" si="228">R136</f>
        <v>-38638.539568104054</v>
      </c>
      <c r="T132" s="24">
        <f t="shared" ref="T132" ca="1" si="229">S136</f>
        <v>-38789.794289929901</v>
      </c>
      <c r="U132" s="24">
        <f t="shared" ref="U132" ca="1" si="230">T136</f>
        <v>-38941.641114643964</v>
      </c>
      <c r="V132" s="24">
        <f t="shared" ref="V132" ca="1" si="231">U136</f>
        <v>-39094.08236009672</v>
      </c>
      <c r="W132" s="24">
        <f t="shared" ref="W132" ca="1" si="232">V136</f>
        <v>-39247.120353212136</v>
      </c>
      <c r="X132" s="24">
        <f t="shared" ref="X132" ca="1" si="233">W136</f>
        <v>-39400.757430023164</v>
      </c>
      <c r="Y132" s="24">
        <f t="shared" ref="Y132" ca="1" si="234">X136</f>
        <v>-39554.995935707404</v>
      </c>
      <c r="Z132" s="24">
        <f t="shared" ref="Z132" ca="1" si="235">Y136</f>
        <v>-39709.838224622923</v>
      </c>
      <c r="AA132" s="24">
        <f t="shared" ref="AA132" ca="1" si="236">Z136</f>
        <v>-39865.286660344158</v>
      </c>
      <c r="AB132" s="24">
        <f t="shared" ref="AB132" ca="1" si="237">AA136</f>
        <v>-40021.343615698017</v>
      </c>
      <c r="AC132" s="24">
        <f t="shared" ref="AC132" ca="1" si="238">AB136</f>
        <v>-40178.011472800106</v>
      </c>
      <c r="AD132" s="24">
        <f t="shared" ref="AD132" ca="1" si="239">AC136</f>
        <v>-40335.292623091067</v>
      </c>
      <c r="AE132" s="24">
        <f t="shared" ref="AE132" ca="1" si="240">AD136</f>
        <v>-40493.189467373093</v>
      </c>
      <c r="AF132" s="24">
        <f t="shared" ref="AF132" ca="1" si="241">AE136</f>
        <v>-40651.70441584658</v>
      </c>
      <c r="AG132" s="24">
        <f t="shared" ref="AG132" ca="1" si="242">AF136</f>
        <v>-40810.839888146918</v>
      </c>
      <c r="AH132" s="24">
        <f t="shared" ref="AH132" ca="1" si="243">AG136</f>
        <v>-40970.598313381408</v>
      </c>
      <c r="AI132" s="24">
        <f t="shared" ref="AI132" ca="1" si="244">AH136</f>
        <v>-41130.982130166361</v>
      </c>
      <c r="AJ132" s="24">
        <f t="shared" ref="AJ132" ca="1" si="245">AI136</f>
        <v>-41291.993786664316</v>
      </c>
      <c r="AK132" s="24">
        <f t="shared" ref="AK132" ca="1" si="246">AJ136</f>
        <v>-41453.635740621401</v>
      </c>
      <c r="AL132" s="24">
        <f t="shared" ref="AL132" ca="1" si="247">AK136</f>
        <v>-41615.910459404862</v>
      </c>
      <c r="AM132" s="24">
        <f t="shared" ref="AM132" ca="1" si="248">AL136</f>
        <v>-41778.820420040713</v>
      </c>
      <c r="AN132" s="24">
        <f t="shared" ref="AN132" ca="1" si="249">AM136</f>
        <v>-41942.368109251562</v>
      </c>
      <c r="AO132" s="24">
        <f t="shared" ref="AO132" ca="1" si="250">AN136</f>
        <v>-40012.218487418257</v>
      </c>
      <c r="AP132" s="24">
        <f t="shared" ref="AP132" ca="1" si="251">AO136</f>
        <v>-38011.478464667496</v>
      </c>
      <c r="AQ132" s="24">
        <f t="shared" ref="AQ132" ca="1" si="252">AP136</f>
        <v>-36546.272937082103</v>
      </c>
      <c r="AR132" s="24">
        <f t="shared" ref="AR132" ca="1" si="253">AQ136</f>
        <v>-34889.488643358316</v>
      </c>
      <c r="AS132" s="24">
        <f t="shared" ref="AS132" ca="1" si="254">AR136</f>
        <v>-33390.660565694903</v>
      </c>
      <c r="AT132" s="24">
        <f t="shared" ref="AT132" ca="1" si="255">AS136</f>
        <v>-31992.105354238287</v>
      </c>
      <c r="AU132" s="24">
        <f t="shared" ref="AU132" ca="1" si="256">AT136</f>
        <v>-30183.804047534362</v>
      </c>
      <c r="AV132" s="24">
        <f t="shared" ref="AV132" ca="1" si="257">AU136</f>
        <v>-28676.226878724879</v>
      </c>
      <c r="AW132" s="24">
        <f t="shared" ref="AW132:AZ132" ca="1" si="258">AV136</f>
        <v>-27266.281588935788</v>
      </c>
      <c r="AX132" s="24">
        <f t="shared" ca="1" si="258"/>
        <v>-25445.805737414572</v>
      </c>
      <c r="AY132" s="24">
        <f t="shared" ca="1" si="258"/>
        <v>-23728.245153092925</v>
      </c>
      <c r="AZ132" s="24">
        <f t="shared" ca="1" si="258"/>
        <v>-21451.633843232757</v>
      </c>
      <c r="BA132" s="24">
        <f t="shared" ref="BA132" ca="1" si="259">AZ136</f>
        <v>-19449.756259751353</v>
      </c>
      <c r="BB132" s="24">
        <f t="shared" ref="BB132" ca="1" si="260">BA136</f>
        <v>-17376.291072985965</v>
      </c>
      <c r="BC132" s="24">
        <f t="shared" ref="BC132" ca="1" si="261">BB136</f>
        <v>-15834.612326629585</v>
      </c>
      <c r="BD132" s="24">
        <f t="shared" ref="BD132" ca="1" si="262">BC136</f>
        <v>-14100.895348286331</v>
      </c>
      <c r="BE132" s="24">
        <f t="shared" ref="BE132" ca="1" si="263">BD136</f>
        <v>-12523.086558968354</v>
      </c>
      <c r="BF132" s="24">
        <f t="shared" ref="BF132" ca="1" si="264">BE136</f>
        <v>-11043.758693544109</v>
      </c>
      <c r="BG132" s="24">
        <f t="shared" ref="BG132" ca="1" si="265">BF136</f>
        <v>-9155.1978987533039</v>
      </c>
      <c r="BH132" s="24">
        <f t="shared" ref="BH132" ca="1" si="266">BG136</f>
        <v>-7564.6507776741009</v>
      </c>
      <c r="BI132" s="24">
        <f t="shared" ref="BI132" ca="1" si="267">BH136</f>
        <v>-6069.9397853033406</v>
      </c>
      <c r="BJ132" s="24">
        <f t="shared" ref="BJ132" ca="1" si="268">BI136</f>
        <v>-4165.1991174540017</v>
      </c>
      <c r="BK132" s="24">
        <f t="shared" ref="BK132" ca="1" si="269">BJ136</f>
        <v>-2361.5434156969213</v>
      </c>
    </row>
    <row r="133" spans="1:63" x14ac:dyDescent="0.25">
      <c r="C133" t="s">
        <v>39</v>
      </c>
      <c r="E133" s="8">
        <v>0</v>
      </c>
      <c r="F133" s="24">
        <v>0</v>
      </c>
      <c r="G133" s="24">
        <f t="shared" ref="G133:P133" ca="1" si="270">-E121</f>
        <v>-422.54944239999895</v>
      </c>
      <c r="H133" s="24">
        <f t="shared" ca="1" si="270"/>
        <v>-4324.6770919999835</v>
      </c>
      <c r="I133" s="24">
        <f t="shared" ca="1" si="270"/>
        <v>-4150.8725520000007</v>
      </c>
      <c r="J133" s="24">
        <f t="shared" ca="1" si="270"/>
        <v>-4631.8573879999894</v>
      </c>
      <c r="K133" s="24">
        <f t="shared" ca="1" si="270"/>
        <v>-4141.3435719999907</v>
      </c>
      <c r="L133" s="24">
        <f t="shared" ca="1" si="270"/>
        <v>-3942.5962479999944</v>
      </c>
      <c r="M133" s="24">
        <f t="shared" ca="1" si="270"/>
        <v>-4761.5578719999903</v>
      </c>
      <c r="N133" s="24">
        <f t="shared" ca="1" si="270"/>
        <v>-5167.9206199999971</v>
      </c>
      <c r="O133" s="24">
        <f t="shared" ca="1" si="270"/>
        <v>-6077.8883040000073</v>
      </c>
      <c r="P133" s="24">
        <f t="shared" si="270"/>
        <v>0</v>
      </c>
      <c r="Q133" s="24">
        <v>0</v>
      </c>
      <c r="R133" s="24">
        <v>0</v>
      </c>
      <c r="S133" s="24">
        <v>0</v>
      </c>
      <c r="T133" s="24">
        <v>0</v>
      </c>
      <c r="U133" s="24">
        <v>0</v>
      </c>
      <c r="V133" s="24">
        <v>0</v>
      </c>
      <c r="W133" s="24">
        <v>0</v>
      </c>
      <c r="X133" s="24">
        <v>0</v>
      </c>
      <c r="Y133" s="24">
        <v>0</v>
      </c>
      <c r="Z133" s="24">
        <v>0</v>
      </c>
      <c r="AA133" s="24">
        <v>0</v>
      </c>
      <c r="AB133" s="24">
        <v>0</v>
      </c>
      <c r="AC133" s="24">
        <v>0</v>
      </c>
      <c r="AD133" s="24">
        <v>0</v>
      </c>
      <c r="AE133" s="24">
        <v>0</v>
      </c>
      <c r="AF133" s="24">
        <v>0</v>
      </c>
      <c r="AG133" s="24">
        <v>0</v>
      </c>
      <c r="AH133" s="24">
        <v>0</v>
      </c>
      <c r="AI133" s="24">
        <v>0</v>
      </c>
      <c r="AJ133" s="24">
        <v>0</v>
      </c>
      <c r="AK133" s="24">
        <v>0</v>
      </c>
      <c r="AL133" s="24">
        <v>0</v>
      </c>
      <c r="AM133" s="24">
        <v>0</v>
      </c>
      <c r="AN133" s="24">
        <v>0</v>
      </c>
      <c r="AO133" s="24">
        <v>0</v>
      </c>
      <c r="AP133" s="24">
        <v>0</v>
      </c>
      <c r="AQ133" s="24">
        <v>0</v>
      </c>
      <c r="AR133" s="24">
        <v>0</v>
      </c>
      <c r="AS133" s="24">
        <v>0</v>
      </c>
      <c r="AT133" s="24">
        <v>0</v>
      </c>
      <c r="AU133" s="24">
        <v>0</v>
      </c>
      <c r="AV133" s="24">
        <v>0</v>
      </c>
      <c r="AW133" s="24">
        <v>0</v>
      </c>
      <c r="AX133" s="24">
        <v>0</v>
      </c>
      <c r="AY133" s="24">
        <v>0</v>
      </c>
      <c r="AZ133" s="24">
        <v>1</v>
      </c>
      <c r="BA133" s="24">
        <v>2</v>
      </c>
      <c r="BB133" s="24">
        <v>3</v>
      </c>
      <c r="BC133" s="24">
        <v>4</v>
      </c>
      <c r="BD133" s="24">
        <v>5</v>
      </c>
      <c r="BE133" s="24">
        <v>6</v>
      </c>
      <c r="BF133" s="24">
        <v>7</v>
      </c>
      <c r="BG133" s="24">
        <v>8</v>
      </c>
      <c r="BH133" s="24">
        <v>9</v>
      </c>
      <c r="BI133" s="24">
        <v>10</v>
      </c>
      <c r="BJ133" s="24">
        <v>11</v>
      </c>
      <c r="BK133" s="24">
        <v>12</v>
      </c>
    </row>
    <row r="134" spans="1:63" x14ac:dyDescent="0.25">
      <c r="C134" t="s">
        <v>40</v>
      </c>
      <c r="AA134" s="7">
        <f>Y129</f>
        <v>0</v>
      </c>
      <c r="AB134" s="7">
        <f t="shared" ref="AB134:AZ134" si="271">Z129</f>
        <v>0</v>
      </c>
      <c r="AC134" s="7">
        <f t="shared" si="271"/>
        <v>0</v>
      </c>
      <c r="AD134" s="7">
        <f t="shared" si="271"/>
        <v>0</v>
      </c>
      <c r="AE134" s="7">
        <f t="shared" si="271"/>
        <v>0</v>
      </c>
      <c r="AF134" s="7">
        <f t="shared" si="271"/>
        <v>0</v>
      </c>
      <c r="AG134" s="7">
        <f t="shared" si="271"/>
        <v>0</v>
      </c>
      <c r="AH134" s="7">
        <f t="shared" si="271"/>
        <v>0</v>
      </c>
      <c r="AI134" s="7">
        <f t="shared" si="271"/>
        <v>0</v>
      </c>
      <c r="AJ134" s="7">
        <f t="shared" si="271"/>
        <v>0</v>
      </c>
      <c r="AK134" s="7">
        <f t="shared" si="271"/>
        <v>0</v>
      </c>
      <c r="AL134" s="7">
        <f t="shared" si="271"/>
        <v>0</v>
      </c>
      <c r="AM134" s="7">
        <f t="shared" si="271"/>
        <v>0</v>
      </c>
      <c r="AN134" s="7">
        <f t="shared" ca="1" si="271"/>
        <v>2090.2462890399138</v>
      </c>
      <c r="AO134" s="7">
        <f t="shared" ca="1" si="271"/>
        <v>2153.1577746289036</v>
      </c>
      <c r="AP134" s="7">
        <f t="shared" ca="1" si="271"/>
        <v>1610.852623245614</v>
      </c>
      <c r="AQ134" s="7">
        <f t="shared" ca="1" si="271"/>
        <v>1796.3326438933575</v>
      </c>
      <c r="AR134" s="7">
        <f t="shared" ca="1" si="271"/>
        <v>1632.2120013544363</v>
      </c>
      <c r="AS134" s="7">
        <f t="shared" ca="1" si="271"/>
        <v>1526.2791540840833</v>
      </c>
      <c r="AT134" s="7">
        <f t="shared" ca="1" si="271"/>
        <v>1929.7607184236374</v>
      </c>
      <c r="AU134" s="7">
        <f t="shared" ca="1" si="271"/>
        <v>1622.5590773797462</v>
      </c>
      <c r="AV134" s="7">
        <f t="shared" ca="1" si="271"/>
        <v>1519.2278758257576</v>
      </c>
      <c r="AW134" s="7">
        <f t="shared" ca="1" si="271"/>
        <v>1923.4478736239437</v>
      </c>
      <c r="AX134" s="7">
        <f t="shared" ca="1" si="271"/>
        <v>1813.6211220846205</v>
      </c>
      <c r="AY134" s="7">
        <f t="shared" ca="1" si="271"/>
        <v>2364.8693116692257</v>
      </c>
      <c r="AZ134" s="7">
        <f t="shared" ca="1" si="271"/>
        <v>2080.7776416908478</v>
      </c>
      <c r="BA134" s="7">
        <f t="shared" ref="BA134" ca="1" si="272">AY129</f>
        <v>2143.4041433167654</v>
      </c>
      <c r="BB134" s="7">
        <f t="shared" ref="BB134" ca="1" si="273">AZ129</f>
        <v>1603.5555905941001</v>
      </c>
      <c r="BC134" s="7">
        <f t="shared" ref="BC134" ca="1" si="274">BA129</f>
        <v>1788.1954016861471</v>
      </c>
      <c r="BD134" s="7">
        <f t="shared" ref="BD134" ca="1" si="275">BB129</f>
        <v>1624.8182124402906</v>
      </c>
      <c r="BE134" s="7">
        <f t="shared" ref="BE134" ca="1" si="276">BC129</f>
        <v>1519.3652324366537</v>
      </c>
      <c r="BF134" s="7">
        <f t="shared" ref="BF134" ca="1" si="277">BD129</f>
        <v>1921.0190577845817</v>
      </c>
      <c r="BG134" s="7">
        <f t="shared" ref="BG134" ca="1" si="278">BE129</f>
        <v>1615.2090154337968</v>
      </c>
      <c r="BH134" s="7">
        <f t="shared" ref="BH134" ca="1" si="279">BF129</f>
        <v>1512.3458959009558</v>
      </c>
      <c r="BI134" s="7">
        <f t="shared" ref="BI134" ca="1" si="280">BG129</f>
        <v>1914.7348096634187</v>
      </c>
      <c r="BJ134" s="7">
        <f t="shared" ref="BJ134" ca="1" si="281">BH129</f>
        <v>1805.4055644635505</v>
      </c>
      <c r="BK134" s="7">
        <f t="shared" ref="BK134" ca="1" si="282">BI129</f>
        <v>2354.1566441447162</v>
      </c>
    </row>
    <row r="135" spans="1:63" x14ac:dyDescent="0.25">
      <c r="C135" s="21" t="s">
        <v>12</v>
      </c>
      <c r="D135" s="107">
        <f>0.6*0.03+0.4*0.075</f>
        <v>4.8000000000000001E-2</v>
      </c>
      <c r="E135" s="22"/>
      <c r="F135" s="24">
        <f>(F132+F133/2+F134/2)*(($D135+1)^(1/12)-1)</f>
        <v>0</v>
      </c>
      <c r="G135" s="24">
        <f t="shared" ref="G135" ca="1" si="283">(G132+G133/2+G134/2)*(($D135+1)^(1/12)-1)</f>
        <v>-0.82705763574768154</v>
      </c>
      <c r="H135" s="24">
        <f t="shared" ref="H135" ca="1" si="284">(H132+H133/2+H134/2)*(($D135+1)^(1/12)-1)</f>
        <v>-10.122059849588531</v>
      </c>
      <c r="I135" s="24">
        <f t="shared" ref="I135" ca="1" si="285">(I132+I133/2+I134/2)*(($D135+1)^(1/12)-1)</f>
        <v>-26.750909396982806</v>
      </c>
      <c r="J135" s="24">
        <f t="shared" ref="J135" ca="1" si="286">(J132+J133/2+J134/2)*(($D135+1)^(1/12)-1)</f>
        <v>-44.046099531037335</v>
      </c>
      <c r="K135" s="24">
        <f t="shared" ref="K135" ca="1" si="287">(K132+K133/2+K134/2)*(($D135+1)^(1/12)-1)</f>
        <v>-61.39034243945251</v>
      </c>
      <c r="L135" s="24">
        <f t="shared" ref="L135" ca="1" si="288">(L132+L133/2+L134/2)*(($D135+1)^(1/12)-1)</f>
        <v>-77.453387794466721</v>
      </c>
      <c r="M135" s="24">
        <f t="shared" ref="M135" ca="1" si="289">(M132+M133/2+M134/2)*(($D135+1)^(1/12)-1)</f>
        <v>-94.793261485069252</v>
      </c>
      <c r="N135" s="24">
        <f t="shared" ref="N135" ca="1" si="290">(N132+N133/2+N134/2)*(($D135+1)^(1/12)-1)</f>
        <v>-114.59934604578642</v>
      </c>
      <c r="O135" s="24">
        <f t="shared" ref="O135" ca="1" si="291">(O132+O133/2+O134/2)*(($D135+1)^(1/12)-1)</f>
        <v>-137.05942223295915</v>
      </c>
      <c r="P135" s="24">
        <f t="shared" ref="P135" ca="1" si="292">(P132+P133/2+P134/2)*(($D135+1)^(1/12)-1)</f>
        <v>-149.4922300592431</v>
      </c>
      <c r="Q135" s="24">
        <f t="shared" ref="Q135" ca="1" si="293">(Q132+Q133/2+Q134/2)*(($D135+1)^(1/12)-1)</f>
        <v>-150.07743348373799</v>
      </c>
      <c r="R135" s="24">
        <f t="shared" ref="R135" ca="1" si="294">(R132+R133/2+R134/2)*(($D135+1)^(1/12)-1)</f>
        <v>-150.66492775002385</v>
      </c>
      <c r="S135" s="24">
        <f t="shared" ref="S135" ca="1" si="295">(S132+S133/2+S134/2)*(($D135+1)^(1/12)-1)</f>
        <v>-151.25472182584741</v>
      </c>
      <c r="T135" s="24">
        <f t="shared" ref="T135" ca="1" si="296">(T132+T133/2+T134/2)*(($D135+1)^(1/12)-1)</f>
        <v>-151.8468247140606</v>
      </c>
      <c r="U135" s="24">
        <f t="shared" ref="U135" ca="1" si="297">(U132+U133/2+U134/2)*(($D135+1)^(1/12)-1)</f>
        <v>-152.44124545275807</v>
      </c>
      <c r="V135" s="24">
        <f t="shared" ref="V135" ca="1" si="298">(V132+V133/2+V134/2)*(($D135+1)^(1/12)-1)</f>
        <v>-153.03799311541496</v>
      </c>
      <c r="W135" s="24">
        <f t="shared" ref="W135" ca="1" si="299">(W132+W133/2+W134/2)*(($D135+1)^(1/12)-1)</f>
        <v>-153.63707681102562</v>
      </c>
      <c r="X135" s="24">
        <f t="shared" ref="X135" ca="1" si="300">(X132+X133/2+X134/2)*(($D135+1)^(1/12)-1)</f>
        <v>-154.23850568424245</v>
      </c>
      <c r="Y135" s="24">
        <f t="shared" ref="Y135" ca="1" si="301">(Y132+Y133/2+Y134/2)*(($D135+1)^(1/12)-1)</f>
        <v>-154.84228891551555</v>
      </c>
      <c r="Z135" s="24">
        <f t="shared" ref="Z135" ca="1" si="302">(Z132+Z133/2+Z134/2)*(($D135+1)^(1/12)-1)</f>
        <v>-155.44843572123304</v>
      </c>
      <c r="AA135" s="24">
        <f t="shared" ref="AA135" ca="1" si="303">(AA132+AA133/2+AA134/2)*(($D135+1)^(1/12)-1)</f>
        <v>-156.05695535386138</v>
      </c>
      <c r="AB135" s="24">
        <f t="shared" ref="AB135" ca="1" si="304">(AB132+AB133/2+AB134/2)*(($D135+1)^(1/12)-1)</f>
        <v>-156.66785710208691</v>
      </c>
      <c r="AC135" s="24">
        <f t="shared" ref="AC135" ca="1" si="305">(AC132+AC133/2+AC134/2)*(($D135+1)^(1/12)-1)</f>
        <v>-157.28115029095758</v>
      </c>
      <c r="AD135" s="24">
        <f t="shared" ref="AD135" ca="1" si="306">(AD132+AD133/2+AD134/2)*(($D135+1)^(1/12)-1)</f>
        <v>-157.89684428202517</v>
      </c>
      <c r="AE135" s="24">
        <f t="shared" ref="AE135" ca="1" si="307">(AE132+AE133/2+AE134/2)*(($D135+1)^(1/12)-1)</f>
        <v>-158.51494847348826</v>
      </c>
      <c r="AF135" s="24">
        <f t="shared" ref="AF135" ca="1" si="308">(AF132+AF133/2+AF134/2)*(($D135+1)^(1/12)-1)</f>
        <v>-159.13547230033569</v>
      </c>
      <c r="AG135" s="24">
        <f t="shared" ref="AG135" ca="1" si="309">(AG132+AG133/2+AG134/2)*(($D135+1)^(1/12)-1)</f>
        <v>-159.75842523449063</v>
      </c>
      <c r="AH135" s="24">
        <f t="shared" ref="AH135" ca="1" si="310">(AH132+AH133/2+AH134/2)*(($D135+1)^(1/12)-1)</f>
        <v>-160.38381678495506</v>
      </c>
      <c r="AI135" s="24">
        <f t="shared" ref="AI135" ca="1" si="311">(AI132+AI133/2+AI134/2)*(($D135+1)^(1/12)-1)</f>
        <v>-161.01165649795502</v>
      </c>
      <c r="AJ135" s="24">
        <f t="shared" ref="AJ135" ca="1" si="312">(AJ132+AJ133/2+AJ134/2)*(($D135+1)^(1/12)-1)</f>
        <v>-161.64195395708623</v>
      </c>
      <c r="AK135" s="24">
        <f t="shared" ref="AK135" ca="1" si="313">(AK132+AK133/2+AK134/2)*(($D135+1)^(1/12)-1)</f>
        <v>-162.27471878346049</v>
      </c>
      <c r="AL135" s="24">
        <f t="shared" ref="AL135" ca="1" si="314">(AL132+AL133/2+AL134/2)*(($D135+1)^(1/12)-1)</f>
        <v>-162.90996063585237</v>
      </c>
      <c r="AM135" s="24">
        <f t="shared" ref="AM135" ca="1" si="315">(AM132+AM133/2+AM134/2)*(($D135+1)^(1/12)-1)</f>
        <v>-163.54768921084687</v>
      </c>
      <c r="AN135" s="24">
        <f t="shared" ref="AN135" ca="1" si="316">(AN132+AN133/2+AN134/2)*(($D135+1)^(1/12)-1)</f>
        <v>-160.09666720660559</v>
      </c>
      <c r="AO135" s="24">
        <f t="shared" ref="AO135" ca="1" si="317">(AO132+AO133/2+AO134/2)*(($D135+1)^(1/12)-1)</f>
        <v>-152.41775187814443</v>
      </c>
      <c r="AP135" s="24">
        <f t="shared" ref="AP135" ca="1" si="318">(AP132+AP133/2+AP134/2)*(($D135+1)^(1/12)-1)</f>
        <v>-145.64709566021736</v>
      </c>
      <c r="AQ135" s="24">
        <f t="shared" ref="AQ135" ca="1" si="319">(AQ132+AQ133/2+AQ134/2)*(($D135+1)^(1/12)-1)</f>
        <v>-139.54835016956713</v>
      </c>
      <c r="AR135" s="24">
        <f t="shared" ref="AR135" ca="1" si="320">(AR132+AR133/2+AR134/2)*(($D135+1)^(1/12)-1)</f>
        <v>-133.38392369101842</v>
      </c>
      <c r="AS135" s="24">
        <f t="shared" ref="AS135" ca="1" si="321">(AS132+AS133/2+AS134/2)*(($D135+1)^(1/12)-1)</f>
        <v>-127.7239426274683</v>
      </c>
      <c r="AT135" s="24">
        <f t="shared" ref="AT135" ca="1" si="322">(AT132+AT133/2+AT134/2)*(($D135+1)^(1/12)-1)</f>
        <v>-121.45941171971134</v>
      </c>
      <c r="AU135" s="24">
        <f t="shared" ref="AU135" ca="1" si="323">(AU132+AU133/2+AU134/2)*(($D135+1)^(1/12)-1)</f>
        <v>-114.98190857026115</v>
      </c>
      <c r="AV135" s="24">
        <f t="shared" ref="AV135" ca="1" si="324">(AV132+AV133/2+AV134/2)*(($D135+1)^(1/12)-1)</f>
        <v>-109.28258603666383</v>
      </c>
      <c r="AW135" s="24">
        <f t="shared" ref="AW135" ca="1" si="325">(AW132+AW133/2+AW134/2)*(($D135+1)^(1/12)-1)</f>
        <v>-102.97202210272832</v>
      </c>
      <c r="AX135" s="24">
        <f t="shared" ref="AX135" ca="1" si="326">(AX132+AX133/2+AX134/2)*(($D135+1)^(1/12)-1)</f>
        <v>-96.060537762973297</v>
      </c>
      <c r="AY135" s="24">
        <f t="shared" ref="AY135:AZ135" ca="1" si="327">(AY132+AY133/2+AY134/2)*(($D135+1)^(1/12)-1)</f>
        <v>-88.258001809057731</v>
      </c>
      <c r="AZ135" s="24">
        <f t="shared" ca="1" si="327"/>
        <v>-79.900058209445987</v>
      </c>
      <c r="BA135" s="24">
        <f t="shared" ref="BA135" ca="1" si="328">(BA132+BA133/2+BA134/2)*(($D135+1)^(1/12)-1)</f>
        <v>-71.938956551377714</v>
      </c>
      <c r="BB135" s="24">
        <f t="shared" ref="BB135" ca="1" si="329">(BB132+BB133/2+BB134/2)*(($D135+1)^(1/12)-1)</f>
        <v>-64.876844237721158</v>
      </c>
      <c r="BC135" s="24">
        <f t="shared" ref="BC135" ca="1" si="330">(BC132+BC133/2+BC134/2)*(($D135+1)^(1/12)-1)</f>
        <v>-58.478423342892505</v>
      </c>
      <c r="BD135" s="24">
        <f t="shared" ref="BD135" ca="1" si="331">(BD132+BD133/2+BD134/2)*(($D135+1)^(1/12)-1)</f>
        <v>-52.009423122312995</v>
      </c>
      <c r="BE135" s="24">
        <f t="shared" ref="BE135" ca="1" si="332">(BE132+BE133/2+BE134/2)*(($D135+1)^(1/12)-1)</f>
        <v>-46.037367012407991</v>
      </c>
      <c r="BF135" s="24">
        <f t="shared" ref="BF135" ca="1" si="333">(BF132+BF133/2+BF134/2)*(($D135+1)^(1/12)-1)</f>
        <v>-39.45826299377751</v>
      </c>
      <c r="BG135" s="24">
        <f t="shared" ref="BG135" ca="1" si="334">(BG132+BG133/2+BG134/2)*(($D135+1)^(1/12)-1)</f>
        <v>-32.661894354593372</v>
      </c>
      <c r="BH135" s="24">
        <f t="shared" ref="BH135" ca="1" si="335">(BH132+BH133/2+BH134/2)*(($D135+1)^(1/12)-1)</f>
        <v>-26.634903530195146</v>
      </c>
      <c r="BI135" s="24">
        <f t="shared" ref="BI135" ca="1" si="336">(BI132+BI133/2+BI134/2)*(($D135+1)^(1/12)-1)</f>
        <v>-19.994141814080102</v>
      </c>
      <c r="BJ135" s="24">
        <f t="shared" ref="BJ135" ca="1" si="337">(BJ132+BJ133/2+BJ134/2)*(($D135+1)^(1/12)-1)</f>
        <v>-12.74986270647018</v>
      </c>
      <c r="BK135" s="24">
        <f t="shared" ref="BK135" ca="1" si="338">(BK132+BK133/2+BK134/2)*(($D135+1)^(1/12)-1)</f>
        <v>-4.6132284478163301</v>
      </c>
    </row>
    <row r="136" spans="1:63" x14ac:dyDescent="0.25">
      <c r="C136" t="s">
        <v>11</v>
      </c>
      <c r="E136">
        <f t="shared" ref="E136:AW136" si="339">SUM(E132:E135)</f>
        <v>0</v>
      </c>
      <c r="F136" s="25">
        <f t="shared" si="339"/>
        <v>0</v>
      </c>
      <c r="G136" s="25">
        <f t="shared" ca="1" si="339"/>
        <v>-423.37650003574663</v>
      </c>
      <c r="H136" s="25">
        <f t="shared" ca="1" si="339"/>
        <v>-4758.175651885319</v>
      </c>
      <c r="I136" s="25">
        <f t="shared" ca="1" si="339"/>
        <v>-8935.7991132823008</v>
      </c>
      <c r="J136" s="25">
        <f t="shared" ca="1" si="339"/>
        <v>-13611.702600813327</v>
      </c>
      <c r="K136" s="25">
        <f t="shared" ca="1" si="339"/>
        <v>-17814.436515252768</v>
      </c>
      <c r="L136" s="25">
        <f t="shared" ca="1" si="339"/>
        <v>-21834.486151047229</v>
      </c>
      <c r="M136" s="25">
        <f t="shared" ca="1" si="339"/>
        <v>-26690.837284532288</v>
      </c>
      <c r="N136" s="25">
        <f t="shared" ca="1" si="339"/>
        <v>-31973.357250578072</v>
      </c>
      <c r="O136" s="25">
        <f t="shared" ca="1" si="339"/>
        <v>-38188.304976811043</v>
      </c>
      <c r="P136" s="25">
        <f t="shared" ca="1" si="339"/>
        <v>-38337.797206870287</v>
      </c>
      <c r="Q136" s="25">
        <f t="shared" ca="1" si="339"/>
        <v>-38487.874640354028</v>
      </c>
      <c r="R136" s="25">
        <f t="shared" ca="1" si="339"/>
        <v>-38638.539568104054</v>
      </c>
      <c r="S136" s="25">
        <f t="shared" ca="1" si="339"/>
        <v>-38789.794289929901</v>
      </c>
      <c r="T136" s="25">
        <f t="shared" ca="1" si="339"/>
        <v>-38941.641114643964</v>
      </c>
      <c r="U136" s="25">
        <f t="shared" ca="1" si="339"/>
        <v>-39094.08236009672</v>
      </c>
      <c r="V136" s="25">
        <f t="shared" ca="1" si="339"/>
        <v>-39247.120353212136</v>
      </c>
      <c r="W136" s="25">
        <f t="shared" ca="1" si="339"/>
        <v>-39400.757430023164</v>
      </c>
      <c r="X136" s="25">
        <f t="shared" ca="1" si="339"/>
        <v>-39554.995935707404</v>
      </c>
      <c r="Y136" s="25">
        <f t="shared" ca="1" si="339"/>
        <v>-39709.838224622923</v>
      </c>
      <c r="Z136" s="25">
        <f t="shared" ca="1" si="339"/>
        <v>-39865.286660344158</v>
      </c>
      <c r="AA136" s="25">
        <f t="shared" ca="1" si="339"/>
        <v>-40021.343615698017</v>
      </c>
      <c r="AB136" s="25">
        <f t="shared" ca="1" si="339"/>
        <v>-40178.011472800106</v>
      </c>
      <c r="AC136" s="25">
        <f t="shared" ca="1" si="339"/>
        <v>-40335.292623091067</v>
      </c>
      <c r="AD136" s="25">
        <f t="shared" ca="1" si="339"/>
        <v>-40493.189467373093</v>
      </c>
      <c r="AE136" s="25">
        <f t="shared" ca="1" si="339"/>
        <v>-40651.70441584658</v>
      </c>
      <c r="AF136" s="25">
        <f t="shared" ca="1" si="339"/>
        <v>-40810.839888146918</v>
      </c>
      <c r="AG136" s="25">
        <f t="shared" ca="1" si="339"/>
        <v>-40970.598313381408</v>
      </c>
      <c r="AH136" s="25">
        <f t="shared" ca="1" si="339"/>
        <v>-41130.982130166361</v>
      </c>
      <c r="AI136" s="25">
        <f t="shared" ca="1" si="339"/>
        <v>-41291.993786664316</v>
      </c>
      <c r="AJ136" s="25">
        <f t="shared" ca="1" si="339"/>
        <v>-41453.635740621401</v>
      </c>
      <c r="AK136" s="25">
        <f t="shared" ca="1" si="339"/>
        <v>-41615.910459404862</v>
      </c>
      <c r="AL136" s="25">
        <f t="shared" ca="1" si="339"/>
        <v>-41778.820420040713</v>
      </c>
      <c r="AM136" s="25">
        <f t="shared" ca="1" si="339"/>
        <v>-41942.368109251562</v>
      </c>
      <c r="AN136" s="25">
        <f t="shared" ca="1" si="339"/>
        <v>-40012.218487418257</v>
      </c>
      <c r="AO136" s="25">
        <f t="shared" ca="1" si="339"/>
        <v>-38011.478464667496</v>
      </c>
      <c r="AP136" s="25">
        <f t="shared" ca="1" si="339"/>
        <v>-36546.272937082103</v>
      </c>
      <c r="AQ136" s="25">
        <f t="shared" ca="1" si="339"/>
        <v>-34889.488643358316</v>
      </c>
      <c r="AR136" s="25">
        <f t="shared" ca="1" si="339"/>
        <v>-33390.660565694903</v>
      </c>
      <c r="AS136" s="25">
        <f t="shared" ca="1" si="339"/>
        <v>-31992.105354238287</v>
      </c>
      <c r="AT136" s="25">
        <f t="shared" ca="1" si="339"/>
        <v>-30183.804047534362</v>
      </c>
      <c r="AU136" s="25">
        <f t="shared" ca="1" si="339"/>
        <v>-28676.226878724879</v>
      </c>
      <c r="AV136" s="25">
        <f t="shared" ca="1" si="339"/>
        <v>-27266.281588935788</v>
      </c>
      <c r="AW136" s="25">
        <f t="shared" ca="1" si="339"/>
        <v>-25445.805737414572</v>
      </c>
      <c r="AX136" s="25">
        <f t="shared" ref="AX136:AY136" ca="1" si="340">SUM(AX132:AX135)</f>
        <v>-23728.245153092925</v>
      </c>
      <c r="AY136" s="91">
        <f t="shared" ca="1" si="340"/>
        <v>-21451.633843232757</v>
      </c>
      <c r="AZ136" s="25">
        <f t="shared" ref="AZ136:BK136" ca="1" si="341">SUM(AZ132:AZ135)</f>
        <v>-19449.756259751353</v>
      </c>
      <c r="BA136" s="25">
        <f t="shared" ca="1" si="341"/>
        <v>-17376.291072985965</v>
      </c>
      <c r="BB136" s="25">
        <f t="shared" ca="1" si="341"/>
        <v>-15834.612326629585</v>
      </c>
      <c r="BC136" s="25">
        <f t="shared" ca="1" si="341"/>
        <v>-14100.895348286331</v>
      </c>
      <c r="BD136" s="25">
        <f t="shared" ca="1" si="341"/>
        <v>-12523.086558968354</v>
      </c>
      <c r="BE136" s="25">
        <f t="shared" ca="1" si="341"/>
        <v>-11043.758693544109</v>
      </c>
      <c r="BF136" s="25">
        <f t="shared" ca="1" si="341"/>
        <v>-9155.1978987533039</v>
      </c>
      <c r="BG136" s="25">
        <f t="shared" ca="1" si="341"/>
        <v>-7564.6507776741009</v>
      </c>
      <c r="BH136" s="25">
        <f t="shared" ca="1" si="341"/>
        <v>-6069.9397853033406</v>
      </c>
      <c r="BI136" s="25">
        <f t="shared" ca="1" si="341"/>
        <v>-4165.1991174540017</v>
      </c>
      <c r="BJ136" s="25">
        <f t="shared" ca="1" si="341"/>
        <v>-2361.5434156969213</v>
      </c>
      <c r="BK136" s="25">
        <f t="shared" ca="1" si="341"/>
        <v>-2.1448620657338324E-11</v>
      </c>
    </row>
    <row r="138" spans="1:63" s="13" customFormat="1" x14ac:dyDescent="0.25">
      <c r="A138" s="12" t="s">
        <v>126</v>
      </c>
    </row>
    <row r="139" spans="1:63" ht="15.75" thickBot="1" x14ac:dyDescent="0.3">
      <c r="B139" t="s">
        <v>125</v>
      </c>
      <c r="E139" s="94" t="s">
        <v>119</v>
      </c>
      <c r="F139" s="94" t="s">
        <v>118</v>
      </c>
    </row>
    <row r="140" spans="1:63" x14ac:dyDescent="0.25">
      <c r="E140" s="98">
        <v>45044</v>
      </c>
      <c r="F140" s="98">
        <v>45292</v>
      </c>
      <c r="G140" s="94" t="s">
        <v>120</v>
      </c>
      <c r="H140" s="94" t="s">
        <v>139</v>
      </c>
      <c r="K140" s="94" t="s">
        <v>141</v>
      </c>
      <c r="M140" s="94" t="s">
        <v>135</v>
      </c>
      <c r="O140" s="118" t="s">
        <v>127</v>
      </c>
      <c r="P140" s="118" t="s">
        <v>127</v>
      </c>
      <c r="S140" t="s">
        <v>129</v>
      </c>
    </row>
    <row r="141" spans="1:63" x14ac:dyDescent="0.25">
      <c r="C141" t="s">
        <v>113</v>
      </c>
      <c r="D141" s="3" t="s">
        <v>123</v>
      </c>
      <c r="E141" s="94" t="s">
        <v>117</v>
      </c>
      <c r="F141" s="94" t="s">
        <v>117</v>
      </c>
      <c r="G141" s="94" t="s">
        <v>117</v>
      </c>
      <c r="H141" s="108" t="s">
        <v>140</v>
      </c>
      <c r="K141" s="94" t="s">
        <v>134</v>
      </c>
      <c r="L141" s="105"/>
      <c r="M141" s="94" t="s">
        <v>136</v>
      </c>
      <c r="O141" s="119" t="s">
        <v>128</v>
      </c>
      <c r="P141" s="119" t="s">
        <v>130</v>
      </c>
      <c r="Q141" t="s">
        <v>131</v>
      </c>
      <c r="S141" t="s">
        <v>130</v>
      </c>
    </row>
    <row r="142" spans="1:63" x14ac:dyDescent="0.25">
      <c r="C142" t="s">
        <v>114</v>
      </c>
      <c r="D142" s="8">
        <v>17</v>
      </c>
      <c r="E142" s="93">
        <v>16.77</v>
      </c>
      <c r="F142" s="93">
        <v>19.34</v>
      </c>
      <c r="G142" s="95">
        <f>F142-E142</f>
        <v>2.5700000000000003</v>
      </c>
      <c r="H142" s="95">
        <f>G142*D142</f>
        <v>43.690000000000005</v>
      </c>
      <c r="K142" s="95"/>
      <c r="L142" s="106"/>
      <c r="M142" s="30">
        <f>4000*50/1000*D142/12</f>
        <v>283.33333333333331</v>
      </c>
      <c r="O142" s="120"/>
      <c r="P142" s="121">
        <f>$O$145*4000*50/1000/12</f>
        <v>0.92060424658349349</v>
      </c>
      <c r="Q142" s="9">
        <f>P142/F142</f>
        <v>4.7601046876085497E-2</v>
      </c>
      <c r="S142" s="31">
        <f>P142*D142</f>
        <v>15.65027219191939</v>
      </c>
    </row>
    <row r="143" spans="1:63" x14ac:dyDescent="0.25">
      <c r="C143" t="s">
        <v>115</v>
      </c>
      <c r="D143" s="8">
        <v>211</v>
      </c>
      <c r="E143" s="93">
        <v>17.149999999999999</v>
      </c>
      <c r="F143" s="93">
        <v>19.77</v>
      </c>
      <c r="G143" s="95">
        <f t="shared" ref="G143:G144" si="342">F143-E143</f>
        <v>2.620000000000001</v>
      </c>
      <c r="H143" s="95">
        <f t="shared" ref="H143:H144" si="343">G143*D143</f>
        <v>552.82000000000016</v>
      </c>
      <c r="K143" s="95"/>
      <c r="L143" s="106"/>
      <c r="M143" s="30">
        <f>4000*53/1000*D143/12</f>
        <v>3727.6666666666665</v>
      </c>
      <c r="O143" s="120"/>
      <c r="P143" s="121">
        <f>$O$145*4000*53/1000/12</f>
        <v>0.97584050137850298</v>
      </c>
      <c r="Q143" s="9">
        <f>P143/F143</f>
        <v>4.9359661172407837E-2</v>
      </c>
      <c r="S143" s="31">
        <f>P143*D143</f>
        <v>205.90234579086413</v>
      </c>
    </row>
    <row r="144" spans="1:63" x14ac:dyDescent="0.25">
      <c r="C144" t="s">
        <v>116</v>
      </c>
      <c r="D144" s="8">
        <v>43</v>
      </c>
      <c r="E144" s="93">
        <v>19.98</v>
      </c>
      <c r="F144" s="93">
        <v>23.04</v>
      </c>
      <c r="G144" s="95">
        <f t="shared" si="342"/>
        <v>3.0599999999999987</v>
      </c>
      <c r="H144" s="95">
        <f t="shared" si="343"/>
        <v>131.57999999999996</v>
      </c>
      <c r="K144" s="95"/>
      <c r="L144" s="106"/>
      <c r="M144" s="30">
        <f>4000*83/1000*D144/12</f>
        <v>1189.6666666666667</v>
      </c>
      <c r="O144" s="120"/>
      <c r="P144" s="121">
        <f>$O$145*4000*83/1000/12</f>
        <v>1.5282030493285994</v>
      </c>
      <c r="Q144" s="9">
        <f>P144/F144</f>
        <v>6.6328257349331579E-2</v>
      </c>
      <c r="S144" s="31">
        <f>P144*D144</f>
        <v>65.712731121129778</v>
      </c>
    </row>
    <row r="145" spans="2:63" ht="15.75" thickBot="1" x14ac:dyDescent="0.3">
      <c r="D145" s="56">
        <f>SUM(D142:D144)</f>
        <v>271</v>
      </c>
      <c r="E145" s="93"/>
      <c r="F145" s="93"/>
      <c r="G145" s="95"/>
      <c r="H145" s="104">
        <f>SUM(H142:H144)</f>
        <v>728.09000000000015</v>
      </c>
      <c r="K145" s="104">
        <f>D158*D145</f>
        <v>287.26534910391331</v>
      </c>
      <c r="L145" s="106"/>
      <c r="M145" s="101">
        <f>SUM(M142:M144)</f>
        <v>5200.666666666667</v>
      </c>
      <c r="O145" s="122">
        <f>K145/M145</f>
        <v>5.5236254795009605E-2</v>
      </c>
      <c r="P145" s="123"/>
      <c r="S145" s="102">
        <f>SUM(S142:S144)</f>
        <v>287.26534910391331</v>
      </c>
      <c r="T145" s="103">
        <f>AL158</f>
        <v>287.26534910391331</v>
      </c>
    </row>
    <row r="146" spans="2:63" x14ac:dyDescent="0.25">
      <c r="Q146" s="96"/>
    </row>
    <row r="147" spans="2:63" s="3" customFormat="1" x14ac:dyDescent="0.25">
      <c r="B147" s="3" t="s">
        <v>25</v>
      </c>
      <c r="E147" s="99" t="s">
        <v>67</v>
      </c>
      <c r="F147" s="99" t="s">
        <v>0</v>
      </c>
      <c r="G147" s="100" t="s">
        <v>68</v>
      </c>
      <c r="H147" s="100" t="s">
        <v>69</v>
      </c>
      <c r="I147" s="100" t="s">
        <v>70</v>
      </c>
      <c r="J147" s="100" t="s">
        <v>71</v>
      </c>
      <c r="K147" s="100" t="s">
        <v>42</v>
      </c>
      <c r="L147" s="100" t="s">
        <v>43</v>
      </c>
      <c r="M147" s="100" t="s">
        <v>44</v>
      </c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  <c r="AU147" s="100"/>
      <c r="AV147" s="100"/>
      <c r="AW147" s="100"/>
      <c r="AX147" s="100"/>
      <c r="AY147" s="100"/>
      <c r="AZ147" s="100"/>
      <c r="BA147" s="100"/>
      <c r="BB147" s="100"/>
      <c r="BC147" s="100"/>
      <c r="BD147" s="100"/>
      <c r="BE147" s="100"/>
      <c r="BF147" s="100"/>
      <c r="BG147" s="100"/>
      <c r="BH147" s="100"/>
      <c r="BI147" s="100"/>
    </row>
    <row r="148" spans="2:63" x14ac:dyDescent="0.25">
      <c r="C148" t="s">
        <v>114</v>
      </c>
      <c r="E148" s="96">
        <f t="shared" ref="E148:M148" si="344">$D142*$G142</f>
        <v>43.690000000000005</v>
      </c>
      <c r="F148" s="96">
        <f t="shared" si="344"/>
        <v>43.690000000000005</v>
      </c>
      <c r="G148" s="96">
        <f t="shared" si="344"/>
        <v>43.690000000000005</v>
      </c>
      <c r="H148" s="96">
        <f t="shared" si="344"/>
        <v>43.690000000000005</v>
      </c>
      <c r="I148" s="96">
        <f t="shared" si="344"/>
        <v>43.690000000000005</v>
      </c>
      <c r="J148" s="96">
        <f t="shared" si="344"/>
        <v>43.690000000000005</v>
      </c>
      <c r="K148" s="96">
        <f t="shared" si="344"/>
        <v>43.690000000000005</v>
      </c>
      <c r="L148" s="96">
        <f t="shared" si="344"/>
        <v>43.690000000000005</v>
      </c>
      <c r="M148" s="96">
        <f t="shared" si="344"/>
        <v>43.690000000000005</v>
      </c>
    </row>
    <row r="149" spans="2:63" x14ac:dyDescent="0.25">
      <c r="C149" t="s">
        <v>115</v>
      </c>
      <c r="E149" s="96">
        <f t="shared" ref="E149:M149" si="345">$D143*$G143</f>
        <v>552.82000000000016</v>
      </c>
      <c r="F149" s="96">
        <f t="shared" si="345"/>
        <v>552.82000000000016</v>
      </c>
      <c r="G149" s="96">
        <f t="shared" si="345"/>
        <v>552.82000000000016</v>
      </c>
      <c r="H149" s="96">
        <f t="shared" si="345"/>
        <v>552.82000000000016</v>
      </c>
      <c r="I149" s="96">
        <f t="shared" si="345"/>
        <v>552.82000000000016</v>
      </c>
      <c r="J149" s="96">
        <f t="shared" si="345"/>
        <v>552.82000000000016</v>
      </c>
      <c r="K149" s="96">
        <f t="shared" si="345"/>
        <v>552.82000000000016</v>
      </c>
      <c r="L149" s="96">
        <f t="shared" si="345"/>
        <v>552.82000000000016</v>
      </c>
      <c r="M149" s="96">
        <f t="shared" si="345"/>
        <v>552.82000000000016</v>
      </c>
    </row>
    <row r="150" spans="2:63" x14ac:dyDescent="0.25">
      <c r="C150" t="s">
        <v>116</v>
      </c>
      <c r="E150" s="96">
        <f t="shared" ref="E150:M150" si="346">$D144*$G144</f>
        <v>131.57999999999996</v>
      </c>
      <c r="F150" s="96">
        <f t="shared" si="346"/>
        <v>131.57999999999996</v>
      </c>
      <c r="G150" s="96">
        <f t="shared" si="346"/>
        <v>131.57999999999996</v>
      </c>
      <c r="H150" s="96">
        <f t="shared" si="346"/>
        <v>131.57999999999996</v>
      </c>
      <c r="I150" s="96">
        <f t="shared" si="346"/>
        <v>131.57999999999996</v>
      </c>
      <c r="J150" s="96">
        <f t="shared" si="346"/>
        <v>131.57999999999996</v>
      </c>
      <c r="K150" s="96">
        <f t="shared" si="346"/>
        <v>131.57999999999996</v>
      </c>
      <c r="L150" s="96">
        <f t="shared" si="346"/>
        <v>131.57999999999996</v>
      </c>
      <c r="M150" s="96">
        <f t="shared" si="346"/>
        <v>131.57999999999996</v>
      </c>
    </row>
    <row r="151" spans="2:63" x14ac:dyDescent="0.25">
      <c r="C151" t="s">
        <v>34</v>
      </c>
      <c r="E151" s="97">
        <f>SUM(E148:E150)</f>
        <v>728.09000000000015</v>
      </c>
      <c r="F151" s="97">
        <f t="shared" ref="F151:M151" si="347">SUM(F148:F150)</f>
        <v>728.09000000000015</v>
      </c>
      <c r="G151" s="97">
        <f t="shared" si="347"/>
        <v>728.09000000000015</v>
      </c>
      <c r="H151" s="97">
        <f t="shared" si="347"/>
        <v>728.09000000000015</v>
      </c>
      <c r="I151" s="97">
        <f t="shared" si="347"/>
        <v>728.09000000000015</v>
      </c>
      <c r="J151" s="97">
        <f t="shared" si="347"/>
        <v>728.09000000000015</v>
      </c>
      <c r="K151" s="97">
        <f t="shared" si="347"/>
        <v>728.09000000000015</v>
      </c>
      <c r="L151" s="97">
        <f t="shared" si="347"/>
        <v>728.09000000000015</v>
      </c>
      <c r="M151" s="97">
        <f t="shared" si="347"/>
        <v>728.09000000000015</v>
      </c>
    </row>
    <row r="152" spans="2:63" x14ac:dyDescent="0.25">
      <c r="E152" s="96"/>
      <c r="F152" s="96"/>
      <c r="G152" s="96"/>
      <c r="H152" s="96"/>
      <c r="I152" s="96"/>
      <c r="J152" s="96"/>
      <c r="K152" s="96"/>
      <c r="L152" s="96"/>
      <c r="M152" s="96"/>
    </row>
    <row r="153" spans="2:63" x14ac:dyDescent="0.25">
      <c r="C153" t="s">
        <v>35</v>
      </c>
      <c r="E153" s="5">
        <f>3/30</f>
        <v>0.1</v>
      </c>
      <c r="F153" s="5">
        <v>1</v>
      </c>
      <c r="G153" s="5">
        <v>1</v>
      </c>
      <c r="H153" s="5">
        <v>1</v>
      </c>
      <c r="I153" s="5">
        <v>1</v>
      </c>
      <c r="J153" s="5">
        <v>1</v>
      </c>
      <c r="K153" s="5">
        <v>1</v>
      </c>
      <c r="L153" s="5">
        <v>1</v>
      </c>
      <c r="M153" s="5">
        <v>1</v>
      </c>
    </row>
    <row r="154" spans="2:63" x14ac:dyDescent="0.25">
      <c r="B154" t="s">
        <v>124</v>
      </c>
      <c r="E154" s="97">
        <f>E151*E153</f>
        <v>72.809000000000012</v>
      </c>
      <c r="F154" s="97">
        <f t="shared" ref="F154:M154" si="348">F151*F153</f>
        <v>728.09000000000015</v>
      </c>
      <c r="G154" s="97">
        <f t="shared" si="348"/>
        <v>728.09000000000015</v>
      </c>
      <c r="H154" s="97">
        <f t="shared" si="348"/>
        <v>728.09000000000015</v>
      </c>
      <c r="I154" s="97">
        <f t="shared" si="348"/>
        <v>728.09000000000015</v>
      </c>
      <c r="J154" s="97">
        <f t="shared" si="348"/>
        <v>728.09000000000015</v>
      </c>
      <c r="K154" s="97">
        <f t="shared" si="348"/>
        <v>728.09000000000015</v>
      </c>
      <c r="L154" s="97">
        <f t="shared" si="348"/>
        <v>728.09000000000015</v>
      </c>
      <c r="M154" s="97">
        <f t="shared" si="348"/>
        <v>728.09000000000015</v>
      </c>
    </row>
    <row r="156" spans="2:63" ht="15.75" thickBot="1" x14ac:dyDescent="0.3">
      <c r="B156" s="3" t="s">
        <v>14</v>
      </c>
    </row>
    <row r="157" spans="2:63" x14ac:dyDescent="0.25">
      <c r="B157" s="113" t="s">
        <v>133</v>
      </c>
      <c r="C157" s="109"/>
      <c r="D157" s="110"/>
    </row>
    <row r="158" spans="2:63" ht="15.75" thickBot="1" x14ac:dyDescent="0.3">
      <c r="B158" s="114"/>
      <c r="C158" s="111" t="s">
        <v>132</v>
      </c>
      <c r="D158" s="124">
        <v>1.0600197383908241</v>
      </c>
      <c r="AL158" s="7">
        <f t="shared" ref="AL158:BI158" si="349">$D$158*$D$145</f>
        <v>287.26534910391331</v>
      </c>
      <c r="AM158" s="7">
        <f t="shared" si="349"/>
        <v>287.26534910391331</v>
      </c>
      <c r="AN158" s="7">
        <f t="shared" si="349"/>
        <v>287.26534910391331</v>
      </c>
      <c r="AO158" s="7">
        <f t="shared" si="349"/>
        <v>287.26534910391331</v>
      </c>
      <c r="AP158" s="7">
        <f t="shared" si="349"/>
        <v>287.26534910391331</v>
      </c>
      <c r="AQ158" s="7">
        <f t="shared" si="349"/>
        <v>287.26534910391331</v>
      </c>
      <c r="AR158" s="7">
        <f t="shared" si="349"/>
        <v>287.26534910391331</v>
      </c>
      <c r="AS158" s="7">
        <f t="shared" si="349"/>
        <v>287.26534910391331</v>
      </c>
      <c r="AT158" s="7">
        <f t="shared" si="349"/>
        <v>287.26534910391331</v>
      </c>
      <c r="AU158" s="7">
        <f t="shared" si="349"/>
        <v>287.26534910391331</v>
      </c>
      <c r="AV158" s="7">
        <f t="shared" si="349"/>
        <v>287.26534910391331</v>
      </c>
      <c r="AW158" s="7">
        <f t="shared" si="349"/>
        <v>287.26534910391331</v>
      </c>
      <c r="AX158" s="7">
        <f t="shared" si="349"/>
        <v>287.26534910391331</v>
      </c>
      <c r="AY158" s="7">
        <f t="shared" si="349"/>
        <v>287.26534910391331</v>
      </c>
      <c r="AZ158" s="7">
        <f t="shared" si="349"/>
        <v>287.26534910391331</v>
      </c>
      <c r="BA158" s="7">
        <f t="shared" si="349"/>
        <v>287.26534910391331</v>
      </c>
      <c r="BB158" s="7">
        <f t="shared" si="349"/>
        <v>287.26534910391331</v>
      </c>
      <c r="BC158" s="7">
        <f t="shared" si="349"/>
        <v>287.26534910391331</v>
      </c>
      <c r="BD158" s="7">
        <f t="shared" si="349"/>
        <v>287.26534910391331</v>
      </c>
      <c r="BE158" s="7">
        <f t="shared" si="349"/>
        <v>287.26534910391331</v>
      </c>
      <c r="BF158" s="7">
        <f t="shared" si="349"/>
        <v>287.26534910391331</v>
      </c>
      <c r="BG158" s="7">
        <f t="shared" si="349"/>
        <v>287.26534910391331</v>
      </c>
      <c r="BH158" s="7">
        <f t="shared" si="349"/>
        <v>287.26534910391331</v>
      </c>
      <c r="BI158" s="7">
        <f t="shared" si="349"/>
        <v>287.26534910391331</v>
      </c>
    </row>
    <row r="160" spans="2:63" s="3" customFormat="1" x14ac:dyDescent="0.25">
      <c r="C160" s="3" t="s">
        <v>9</v>
      </c>
      <c r="G160" s="89">
        <f>G131</f>
        <v>45092</v>
      </c>
      <c r="H160" s="89">
        <f t="shared" ref="H160:AY160" si="350">H131</f>
        <v>45122</v>
      </c>
      <c r="I160" s="89">
        <f t="shared" si="350"/>
        <v>45153</v>
      </c>
      <c r="J160" s="89">
        <f t="shared" si="350"/>
        <v>45184</v>
      </c>
      <c r="K160" s="89">
        <f t="shared" si="350"/>
        <v>45214</v>
      </c>
      <c r="L160" s="89">
        <f t="shared" si="350"/>
        <v>45245</v>
      </c>
      <c r="M160" s="89">
        <f t="shared" si="350"/>
        <v>45275</v>
      </c>
      <c r="N160" s="89">
        <f t="shared" si="350"/>
        <v>45306</v>
      </c>
      <c r="O160" s="89">
        <f t="shared" si="350"/>
        <v>45337</v>
      </c>
      <c r="P160" s="89">
        <f t="shared" si="350"/>
        <v>45366</v>
      </c>
      <c r="Q160" s="89">
        <f t="shared" si="350"/>
        <v>45397</v>
      </c>
      <c r="R160" s="89">
        <f t="shared" si="350"/>
        <v>45427</v>
      </c>
      <c r="S160" s="89">
        <f t="shared" si="350"/>
        <v>45458</v>
      </c>
      <c r="T160" s="89">
        <f t="shared" si="350"/>
        <v>45488</v>
      </c>
      <c r="U160" s="89">
        <f t="shared" si="350"/>
        <v>45519</v>
      </c>
      <c r="V160" s="89">
        <f t="shared" si="350"/>
        <v>45550</v>
      </c>
      <c r="W160" s="89">
        <f t="shared" si="350"/>
        <v>45580</v>
      </c>
      <c r="X160" s="89">
        <f t="shared" si="350"/>
        <v>45611</v>
      </c>
      <c r="Y160" s="89">
        <f t="shared" si="350"/>
        <v>45641</v>
      </c>
      <c r="Z160" s="89">
        <f t="shared" si="350"/>
        <v>45672</v>
      </c>
      <c r="AA160" s="89">
        <f t="shared" si="350"/>
        <v>45703</v>
      </c>
      <c r="AB160" s="89">
        <f t="shared" si="350"/>
        <v>45731</v>
      </c>
      <c r="AC160" s="89">
        <f t="shared" si="350"/>
        <v>45762</v>
      </c>
      <c r="AD160" s="89">
        <f t="shared" si="350"/>
        <v>45792</v>
      </c>
      <c r="AE160" s="89">
        <f t="shared" si="350"/>
        <v>45823</v>
      </c>
      <c r="AF160" s="89">
        <f t="shared" si="350"/>
        <v>45853</v>
      </c>
      <c r="AG160" s="89">
        <f t="shared" si="350"/>
        <v>45884</v>
      </c>
      <c r="AH160" s="89">
        <f t="shared" si="350"/>
        <v>45915</v>
      </c>
      <c r="AI160" s="89">
        <f t="shared" si="350"/>
        <v>45945</v>
      </c>
      <c r="AJ160" s="89">
        <f t="shared" si="350"/>
        <v>45976</v>
      </c>
      <c r="AK160" s="89">
        <f t="shared" si="350"/>
        <v>46006</v>
      </c>
      <c r="AL160" s="89">
        <f t="shared" si="350"/>
        <v>46037</v>
      </c>
      <c r="AM160" s="89">
        <f t="shared" si="350"/>
        <v>46068</v>
      </c>
      <c r="AN160" s="89">
        <f t="shared" si="350"/>
        <v>46096</v>
      </c>
      <c r="AO160" s="89">
        <f t="shared" si="350"/>
        <v>46127</v>
      </c>
      <c r="AP160" s="89">
        <f t="shared" si="350"/>
        <v>46157</v>
      </c>
      <c r="AQ160" s="89">
        <f t="shared" si="350"/>
        <v>46188</v>
      </c>
      <c r="AR160" s="89">
        <f t="shared" si="350"/>
        <v>46218</v>
      </c>
      <c r="AS160" s="89">
        <f t="shared" si="350"/>
        <v>46249</v>
      </c>
      <c r="AT160" s="89">
        <f t="shared" si="350"/>
        <v>46280</v>
      </c>
      <c r="AU160" s="89">
        <f t="shared" si="350"/>
        <v>46310</v>
      </c>
      <c r="AV160" s="89">
        <f t="shared" si="350"/>
        <v>46341</v>
      </c>
      <c r="AW160" s="89">
        <f t="shared" si="350"/>
        <v>46371</v>
      </c>
      <c r="AX160" s="89">
        <f t="shared" si="350"/>
        <v>46402</v>
      </c>
      <c r="AY160" s="89">
        <f t="shared" si="350"/>
        <v>46433</v>
      </c>
      <c r="AZ160" s="89">
        <f t="shared" ref="AZ160:BI160" si="351">AZ131</f>
        <v>46461</v>
      </c>
      <c r="BA160" s="89">
        <f t="shared" si="351"/>
        <v>46492</v>
      </c>
      <c r="BB160" s="89">
        <f t="shared" si="351"/>
        <v>46522</v>
      </c>
      <c r="BC160" s="89">
        <f t="shared" si="351"/>
        <v>46553</v>
      </c>
      <c r="BD160" s="89">
        <f t="shared" si="351"/>
        <v>46583</v>
      </c>
      <c r="BE160" s="89">
        <f t="shared" si="351"/>
        <v>46614</v>
      </c>
      <c r="BF160" s="89">
        <f t="shared" si="351"/>
        <v>46645</v>
      </c>
      <c r="BG160" s="89">
        <f t="shared" si="351"/>
        <v>46675</v>
      </c>
      <c r="BH160" s="89">
        <f t="shared" si="351"/>
        <v>46706</v>
      </c>
      <c r="BI160" s="89">
        <f t="shared" si="351"/>
        <v>46736</v>
      </c>
      <c r="BJ160" s="89">
        <f t="shared" ref="BJ160:BK160" si="352">BJ131</f>
        <v>46767</v>
      </c>
      <c r="BK160" s="89">
        <f t="shared" si="352"/>
        <v>46798</v>
      </c>
    </row>
    <row r="161" spans="3:63" x14ac:dyDescent="0.25">
      <c r="C161" t="s">
        <v>10</v>
      </c>
      <c r="E161" s="8">
        <v>0</v>
      </c>
      <c r="F161" s="24">
        <f t="shared" ref="F161" si="353">E165</f>
        <v>0</v>
      </c>
      <c r="G161" s="34">
        <f t="shared" ref="G161" si="354">F165</f>
        <v>0</v>
      </c>
      <c r="H161" s="24">
        <f t="shared" ref="H161" si="355">G165</f>
        <v>-72.951509333485646</v>
      </c>
      <c r="I161" s="24">
        <f t="shared" ref="I161" si="356">H165</f>
        <v>-802.75217920343778</v>
      </c>
      <c r="J161" s="24">
        <f t="shared" ref="J161" si="357">I165</f>
        <v>-1535.4097323444289</v>
      </c>
      <c r="K161" s="24">
        <f t="shared" ref="K161" si="358">J165</f>
        <v>-2270.9353523335117</v>
      </c>
      <c r="L161" s="24">
        <f t="shared" ref="L161" si="359">K165</f>
        <v>-3009.3402665270542</v>
      </c>
      <c r="M161" s="24">
        <f t="shared" ref="M161" si="360">L165</f>
        <v>-3750.6357462321198</v>
      </c>
      <c r="N161" s="24">
        <f t="shared" ref="N161" si="361">M165</f>
        <v>-4494.8331068785155</v>
      </c>
      <c r="O161" s="24">
        <f t="shared" ref="O161" si="362">N165</f>
        <v>-5241.9437081915194</v>
      </c>
      <c r="P161" s="24">
        <f t="shared" ref="P161" si="363">O165</f>
        <v>-5991.9789543652723</v>
      </c>
      <c r="Q161" s="24">
        <f t="shared" ref="Q161" si="364">P165</f>
        <v>-6015.4352009020076</v>
      </c>
      <c r="R161" s="24">
        <f t="shared" ref="R161" si="365">Q165</f>
        <v>-6038.9832694404195</v>
      </c>
      <c r="S161" s="24">
        <f t="shared" ref="S161" si="366">R165</f>
        <v>-6062.623519427616</v>
      </c>
      <c r="T161" s="24">
        <f t="shared" ref="T161" si="367">S165</f>
        <v>-6086.3563117178001</v>
      </c>
      <c r="U161" s="24">
        <f t="shared" ref="U161" si="368">T165</f>
        <v>-6110.1820085777772</v>
      </c>
      <c r="V161" s="24">
        <f t="shared" ref="V161" si="369">U165</f>
        <v>-6134.1009736924843</v>
      </c>
      <c r="W161" s="24">
        <f t="shared" ref="W161" si="370">V165</f>
        <v>-6158.1135721705441</v>
      </c>
      <c r="X161" s="24">
        <f t="shared" ref="X161" si="371">W165</f>
        <v>-6182.2201705498355</v>
      </c>
      <c r="Y161" s="24">
        <f t="shared" ref="Y161" si="372">X165</f>
        <v>-6206.4211368030883</v>
      </c>
      <c r="Z161" s="24">
        <f t="shared" ref="Z161" si="373">Y165</f>
        <v>-6230.7168403435026</v>
      </c>
      <c r="AA161" s="24">
        <f t="shared" ref="AA161" si="374">Z165</f>
        <v>-6255.107652030385</v>
      </c>
      <c r="AB161" s="24">
        <f t="shared" ref="AB161" si="375">AA165</f>
        <v>-6279.5939441748114</v>
      </c>
      <c r="AC161" s="24">
        <f t="shared" ref="AC161" si="376">AB165</f>
        <v>-6304.1760905453102</v>
      </c>
      <c r="AD161" s="24">
        <f t="shared" ref="AD161" si="377">AC165</f>
        <v>-6328.8544663735656</v>
      </c>
      <c r="AE161" s="24">
        <f t="shared" ref="AE161" si="378">AD165</f>
        <v>-6353.6294483601478</v>
      </c>
      <c r="AF161" s="24">
        <f t="shared" ref="AF161" si="379">AE165</f>
        <v>-6378.5014146802605</v>
      </c>
      <c r="AG161" s="24">
        <f t="shared" ref="AG161" si="380">AF165</f>
        <v>-6403.4707449895159</v>
      </c>
      <c r="AH161" s="24">
        <f t="shared" ref="AH161" si="381">AG165</f>
        <v>-6428.5378204297294</v>
      </c>
      <c r="AI161" s="24">
        <f t="shared" ref="AI161" si="382">AH165</f>
        <v>-6453.7030236347364</v>
      </c>
      <c r="AJ161" s="24">
        <f t="shared" ref="AJ161" si="383">AI165</f>
        <v>-6478.9667387362333</v>
      </c>
      <c r="AK161" s="24">
        <f t="shared" ref="AK161" si="384">AJ165</f>
        <v>-6504.3293513696426</v>
      </c>
      <c r="AL161" s="24">
        <f t="shared" ref="AL161" si="385">AK165</f>
        <v>-6529.7912486799969</v>
      </c>
      <c r="AM161" s="24">
        <f t="shared" ref="AM161" si="386">AL165</f>
        <v>-6555.3528193278498</v>
      </c>
      <c r="AN161" s="24">
        <f t="shared" ref="AN161" si="387">AM165</f>
        <v>-6581.0144534952087</v>
      </c>
      <c r="AO161" s="24">
        <f t="shared" ref="AO161" si="388">AN165</f>
        <v>-6318.9489282237828</v>
      </c>
      <c r="AP161" s="24">
        <f t="shared" ref="AP161" si="389">AO165</f>
        <v>-6055.8575192474309</v>
      </c>
      <c r="AQ161" s="24">
        <f t="shared" ref="AQ161" si="390">AP165</f>
        <v>-5791.7362106339733</v>
      </c>
      <c r="AR161" s="24">
        <f t="shared" ref="AR161" si="391">AQ165</f>
        <v>-5526.5809707304315</v>
      </c>
      <c r="AS161" s="24">
        <f t="shared" ref="AS161" si="392">AR165</f>
        <v>-5260.3877521014883</v>
      </c>
      <c r="AT161" s="24">
        <f t="shared" ref="AT161" si="393">AS165</f>
        <v>-4993.1524914677047</v>
      </c>
      <c r="AU161" s="24">
        <f t="shared" ref="AU161" si="394">AT165</f>
        <v>-4724.8711096434972</v>
      </c>
      <c r="AV161" s="24">
        <f t="shared" ref="AV161" si="395">AU165</f>
        <v>-4455.5395114748717</v>
      </c>
      <c r="AW161" s="24">
        <f t="shared" ref="AW161" si="396">AV165</f>
        <v>-4185.1535857769122</v>
      </c>
      <c r="AX161" s="24">
        <f t="shared" ref="AX161" si="397">AW165</f>
        <v>-3913.7092052710282</v>
      </c>
      <c r="AY161" s="24">
        <f t="shared" ref="AY161" si="398">AX165</f>
        <v>-3641.2022265219512</v>
      </c>
      <c r="AZ161" s="24">
        <f t="shared" ref="AZ161" si="399">AY165</f>
        <v>-3367.6284898744902</v>
      </c>
      <c r="BA161" s="24">
        <f t="shared" ref="BA161" si="400">AZ165</f>
        <v>-3092.9838193900364</v>
      </c>
      <c r="BB161" s="24">
        <f t="shared" ref="BB161" si="401">BA165</f>
        <v>-2817.2640227828197</v>
      </c>
      <c r="BC161" s="24">
        <f t="shared" ref="BC161" si="402">BB165</f>
        <v>-2540.4648913559158</v>
      </c>
      <c r="BD161" s="24">
        <f t="shared" ref="BD161" si="403">BC165</f>
        <v>-2262.5821999370041</v>
      </c>
      <c r="BE161" s="24">
        <f t="shared" ref="BE161" si="404">BD165</f>
        <v>-1983.6117068138719</v>
      </c>
      <c r="BF161" s="24">
        <f t="shared" ref="BF161" si="405">BE165</f>
        <v>-1703.549153669667</v>
      </c>
      <c r="BG161" s="24">
        <f t="shared" ref="BG161" si="406">BF165</f>
        <v>-1422.3902655178977</v>
      </c>
      <c r="BH161" s="24">
        <f t="shared" ref="BH161" si="407">BG165</f>
        <v>-1140.1307506371784</v>
      </c>
      <c r="BI161" s="24">
        <f t="shared" ref="BI161" si="408">BH165</f>
        <v>-856.76630050571703</v>
      </c>
      <c r="BJ161" s="24">
        <f t="shared" ref="BJ161" si="409">BI165</f>
        <v>-572.29258973555011</v>
      </c>
      <c r="BK161" s="24">
        <f t="shared" ref="BK161" si="410">BJ165</f>
        <v>-286.70527600651695</v>
      </c>
    </row>
    <row r="162" spans="3:63" x14ac:dyDescent="0.25">
      <c r="C162" t="s">
        <v>39</v>
      </c>
      <c r="E162" s="8">
        <v>0</v>
      </c>
      <c r="F162" s="24">
        <v>0</v>
      </c>
      <c r="G162" s="24">
        <f t="shared" ref="G162:O162" si="411">-E154</f>
        <v>-72.809000000000012</v>
      </c>
      <c r="H162" s="24">
        <f t="shared" si="411"/>
        <v>-728.09000000000015</v>
      </c>
      <c r="I162" s="24">
        <f t="shared" si="411"/>
        <v>-728.09000000000015</v>
      </c>
      <c r="J162" s="24">
        <f t="shared" si="411"/>
        <v>-728.09000000000015</v>
      </c>
      <c r="K162" s="24">
        <f t="shared" si="411"/>
        <v>-728.09000000000015</v>
      </c>
      <c r="L162" s="24">
        <f t="shared" si="411"/>
        <v>-728.09000000000015</v>
      </c>
      <c r="M162" s="24">
        <f t="shared" si="411"/>
        <v>-728.09000000000015</v>
      </c>
      <c r="N162" s="24">
        <f t="shared" si="411"/>
        <v>-728.09000000000015</v>
      </c>
      <c r="O162" s="24">
        <f t="shared" si="411"/>
        <v>-728.09000000000015</v>
      </c>
      <c r="P162" s="24">
        <f t="shared" ref="P162" si="412">-N151</f>
        <v>0</v>
      </c>
      <c r="Q162" s="24">
        <f t="shared" ref="Q162" si="413">-O151</f>
        <v>0</v>
      </c>
      <c r="R162" s="24">
        <f t="shared" ref="R162" si="414">-P151</f>
        <v>0</v>
      </c>
      <c r="S162" s="24">
        <f t="shared" ref="S162" si="415">-Q151</f>
        <v>0</v>
      </c>
      <c r="T162" s="24">
        <f t="shared" ref="T162" si="416">-R151</f>
        <v>0</v>
      </c>
      <c r="U162" s="24">
        <f t="shared" ref="U162" si="417">-S151</f>
        <v>0</v>
      </c>
      <c r="V162" s="24">
        <f t="shared" ref="V162" si="418">-T151</f>
        <v>0</v>
      </c>
      <c r="W162" s="24">
        <f t="shared" ref="W162" si="419">-U151</f>
        <v>0</v>
      </c>
      <c r="X162" s="24">
        <f t="shared" ref="X162" si="420">-V151</f>
        <v>0</v>
      </c>
      <c r="Y162" s="24">
        <f t="shared" ref="Y162" si="421">-W151</f>
        <v>0</v>
      </c>
      <c r="Z162" s="24">
        <f t="shared" ref="Z162" si="422">-X151</f>
        <v>0</v>
      </c>
      <c r="AA162" s="24">
        <f t="shared" ref="AA162" si="423">-Y151</f>
        <v>0</v>
      </c>
      <c r="AB162" s="24">
        <f t="shared" ref="AB162" si="424">-Z151</f>
        <v>0</v>
      </c>
      <c r="AC162" s="24">
        <f t="shared" ref="AC162" si="425">-AA151</f>
        <v>0</v>
      </c>
      <c r="AD162" s="24">
        <f t="shared" ref="AD162" si="426">-AB151</f>
        <v>0</v>
      </c>
      <c r="AE162" s="24">
        <f t="shared" ref="AE162" si="427">-AC151</f>
        <v>0</v>
      </c>
      <c r="AF162" s="24">
        <f t="shared" ref="AF162" si="428">-AD151</f>
        <v>0</v>
      </c>
      <c r="AG162" s="24">
        <f t="shared" ref="AG162" si="429">-AE151</f>
        <v>0</v>
      </c>
      <c r="AH162" s="24">
        <f t="shared" ref="AH162" si="430">-AF151</f>
        <v>0</v>
      </c>
      <c r="AI162" s="24">
        <f t="shared" ref="AI162" si="431">-AG151</f>
        <v>0</v>
      </c>
      <c r="AJ162" s="24">
        <f t="shared" ref="AJ162" si="432">-AH151</f>
        <v>0</v>
      </c>
      <c r="AK162" s="24">
        <f t="shared" ref="AK162" si="433">-AI151</f>
        <v>0</v>
      </c>
      <c r="AL162" s="24">
        <f t="shared" ref="AL162" si="434">-AJ151</f>
        <v>0</v>
      </c>
      <c r="AM162" s="24">
        <f t="shared" ref="AM162" si="435">-AK151</f>
        <v>0</v>
      </c>
      <c r="AN162" s="24">
        <f t="shared" ref="AN162" si="436">-AL151</f>
        <v>0</v>
      </c>
      <c r="AO162" s="24">
        <f t="shared" ref="AO162" si="437">-AM151</f>
        <v>0</v>
      </c>
      <c r="AP162" s="24">
        <f t="shared" ref="AP162" si="438">-AN151</f>
        <v>0</v>
      </c>
      <c r="AQ162" s="24">
        <f t="shared" ref="AQ162" si="439">-AO151</f>
        <v>0</v>
      </c>
      <c r="AR162" s="24">
        <f t="shared" ref="AR162" si="440">-AP151</f>
        <v>0</v>
      </c>
      <c r="AS162" s="24">
        <f t="shared" ref="AS162" si="441">-AQ151</f>
        <v>0</v>
      </c>
      <c r="AT162" s="24">
        <f t="shared" ref="AT162" si="442">-AR151</f>
        <v>0</v>
      </c>
      <c r="AU162" s="24">
        <f t="shared" ref="AU162" si="443">-AS151</f>
        <v>0</v>
      </c>
      <c r="AV162" s="24">
        <f t="shared" ref="AV162" si="444">-AT151</f>
        <v>0</v>
      </c>
      <c r="AW162" s="24">
        <f t="shared" ref="AW162" si="445">-AU151</f>
        <v>0</v>
      </c>
      <c r="AX162" s="24">
        <f t="shared" ref="AX162" si="446">-AV151</f>
        <v>0</v>
      </c>
      <c r="AY162" s="24">
        <f t="shared" ref="AY162" si="447">-AW151</f>
        <v>0</v>
      </c>
      <c r="AZ162" s="24">
        <f t="shared" ref="AZ162" si="448">-AX151</f>
        <v>0</v>
      </c>
      <c r="BA162" s="24">
        <f t="shared" ref="BA162" si="449">-AY151</f>
        <v>0</v>
      </c>
      <c r="BB162" s="24">
        <f t="shared" ref="BB162" si="450">-AZ151</f>
        <v>0</v>
      </c>
      <c r="BC162" s="24">
        <f t="shared" ref="BC162" si="451">-BA151</f>
        <v>0</v>
      </c>
      <c r="BD162" s="24">
        <f t="shared" ref="BD162" si="452">-BB151</f>
        <v>0</v>
      </c>
      <c r="BE162" s="24">
        <f t="shared" ref="BE162" si="453">-BC151</f>
        <v>0</v>
      </c>
      <c r="BF162" s="24">
        <f t="shared" ref="BF162" si="454">-BD151</f>
        <v>0</v>
      </c>
      <c r="BG162" s="24">
        <f t="shared" ref="BG162" si="455">-BE151</f>
        <v>0</v>
      </c>
      <c r="BH162" s="24">
        <f t="shared" ref="BH162" si="456">-BF151</f>
        <v>0</v>
      </c>
      <c r="BI162" s="24">
        <f t="shared" ref="BI162" si="457">-BG151</f>
        <v>0</v>
      </c>
      <c r="BJ162" s="24">
        <f t="shared" ref="BJ162" si="458">-BH151</f>
        <v>0</v>
      </c>
      <c r="BK162" s="24">
        <f t="shared" ref="BK162" si="459">-BI151</f>
        <v>0</v>
      </c>
    </row>
    <row r="163" spans="3:63" x14ac:dyDescent="0.25">
      <c r="C163" t="s">
        <v>40</v>
      </c>
      <c r="AA163" s="7">
        <f>Y158</f>
        <v>0</v>
      </c>
      <c r="AB163" s="7">
        <f t="shared" ref="AB163:AY163" si="460">Z158</f>
        <v>0</v>
      </c>
      <c r="AC163" s="7">
        <f t="shared" si="460"/>
        <v>0</v>
      </c>
      <c r="AD163" s="7">
        <f t="shared" si="460"/>
        <v>0</v>
      </c>
      <c r="AE163" s="7">
        <f t="shared" si="460"/>
        <v>0</v>
      </c>
      <c r="AF163" s="7">
        <f t="shared" si="460"/>
        <v>0</v>
      </c>
      <c r="AG163" s="7">
        <f t="shared" si="460"/>
        <v>0</v>
      </c>
      <c r="AH163" s="7">
        <f t="shared" si="460"/>
        <v>0</v>
      </c>
      <c r="AI163" s="7">
        <f t="shared" si="460"/>
        <v>0</v>
      </c>
      <c r="AJ163" s="7">
        <f t="shared" si="460"/>
        <v>0</v>
      </c>
      <c r="AK163" s="7">
        <f t="shared" si="460"/>
        <v>0</v>
      </c>
      <c r="AL163" s="7">
        <f t="shared" si="460"/>
        <v>0</v>
      </c>
      <c r="AM163" s="7">
        <f t="shared" si="460"/>
        <v>0</v>
      </c>
      <c r="AN163" s="7">
        <f t="shared" si="460"/>
        <v>287.26534910391331</v>
      </c>
      <c r="AO163" s="7">
        <f t="shared" si="460"/>
        <v>287.26534910391331</v>
      </c>
      <c r="AP163" s="7">
        <f t="shared" si="460"/>
        <v>287.26534910391331</v>
      </c>
      <c r="AQ163" s="7">
        <f t="shared" si="460"/>
        <v>287.26534910391331</v>
      </c>
      <c r="AR163" s="7">
        <f t="shared" si="460"/>
        <v>287.26534910391331</v>
      </c>
      <c r="AS163" s="7">
        <f t="shared" si="460"/>
        <v>287.26534910391331</v>
      </c>
      <c r="AT163" s="7">
        <f t="shared" si="460"/>
        <v>287.26534910391331</v>
      </c>
      <c r="AU163" s="7">
        <f t="shared" si="460"/>
        <v>287.26534910391331</v>
      </c>
      <c r="AV163" s="7">
        <f t="shared" si="460"/>
        <v>287.26534910391331</v>
      </c>
      <c r="AW163" s="7">
        <f t="shared" si="460"/>
        <v>287.26534910391331</v>
      </c>
      <c r="AX163" s="7">
        <f t="shared" si="460"/>
        <v>287.26534910391331</v>
      </c>
      <c r="AY163" s="7">
        <f t="shared" si="460"/>
        <v>287.26534910391331</v>
      </c>
      <c r="AZ163" s="7">
        <f t="shared" ref="AZ163" si="461">AX158</f>
        <v>287.26534910391331</v>
      </c>
      <c r="BA163" s="7">
        <f t="shared" ref="BA163" si="462">AY158</f>
        <v>287.26534910391331</v>
      </c>
      <c r="BB163" s="7">
        <f t="shared" ref="BB163" si="463">AZ158</f>
        <v>287.26534910391331</v>
      </c>
      <c r="BC163" s="7">
        <f t="shared" ref="BC163" si="464">BA158</f>
        <v>287.26534910391331</v>
      </c>
      <c r="BD163" s="7">
        <f t="shared" ref="BD163" si="465">BB158</f>
        <v>287.26534910391331</v>
      </c>
      <c r="BE163" s="7">
        <f t="shared" ref="BE163" si="466">BC158</f>
        <v>287.26534910391331</v>
      </c>
      <c r="BF163" s="7">
        <f t="shared" ref="BF163" si="467">BD158</f>
        <v>287.26534910391331</v>
      </c>
      <c r="BG163" s="7">
        <f t="shared" ref="BG163" si="468">BE158</f>
        <v>287.26534910391331</v>
      </c>
      <c r="BH163" s="7">
        <f t="shared" ref="BH163" si="469">BF158</f>
        <v>287.26534910391331</v>
      </c>
      <c r="BI163" s="7">
        <f t="shared" ref="BI163" si="470">BG158</f>
        <v>287.26534910391331</v>
      </c>
      <c r="BJ163" s="7">
        <f t="shared" ref="BJ163" si="471">BH158</f>
        <v>287.26534910391331</v>
      </c>
      <c r="BK163" s="7">
        <f t="shared" ref="BK163" si="472">BI158</f>
        <v>287.26534910391331</v>
      </c>
    </row>
    <row r="164" spans="3:63" x14ac:dyDescent="0.25">
      <c r="C164" s="21" t="s">
        <v>12</v>
      </c>
      <c r="D164" s="107">
        <f>0.6*0.03+0.4*0.075</f>
        <v>4.8000000000000001E-2</v>
      </c>
      <c r="E164" s="22"/>
      <c r="F164" s="24">
        <f>(F161+F162/2+F163/2)*(($D164+1)^(1/12)-1)</f>
        <v>0</v>
      </c>
      <c r="G164" s="24">
        <f t="shared" ref="G164" si="473">(G161+G162/2+G163/2)*(($D164+1)^(1/12)-1)</f>
        <v>-0.14250933348564065</v>
      </c>
      <c r="H164" s="24">
        <f t="shared" ref="H164" si="474">(H161+H162/2+H163/2)*(($D164+1)^(1/12)-1)</f>
        <v>-1.7106698699519727</v>
      </c>
      <c r="I164" s="24">
        <f t="shared" ref="I164" si="475">(I161+I162/2+I163/2)*(($D164+1)^(1/12)-1)</f>
        <v>-4.5675531409910182</v>
      </c>
      <c r="J164" s="24">
        <f t="shared" ref="J164" si="476">(J161+J162/2+J163/2)*(($D164+1)^(1/12)-1)</f>
        <v>-7.4356199890824071</v>
      </c>
      <c r="K164" s="24">
        <f t="shared" ref="K164" si="477">(K161+K162/2+K163/2)*(($D164+1)^(1/12)-1)</f>
        <v>-10.314914193542208</v>
      </c>
      <c r="L164" s="24">
        <f t="shared" ref="L164" si="478">(L161+L162/2+L163/2)*(($D164+1)^(1/12)-1)</f>
        <v>-13.205479705065327</v>
      </c>
      <c r="M164" s="24">
        <f t="shared" ref="M164" si="479">(M161+M162/2+M163/2)*(($D164+1)^(1/12)-1)</f>
        <v>-16.107360646396401</v>
      </c>
      <c r="N164" s="24">
        <f t="shared" ref="N164" si="480">(N161+N162/2+N163/2)*(($D164+1)^(1/12)-1)</f>
        <v>-19.020601313003301</v>
      </c>
      <c r="O164" s="24">
        <f t="shared" ref="O164" si="481">(O161+O162/2+O163/2)*(($D164+1)^(1/12)-1)</f>
        <v>-21.945246173753272</v>
      </c>
      <c r="P164" s="24">
        <f t="shared" ref="P164" si="482">(P161+P162/2+P163/2)*(($D164+1)^(1/12)-1)</f>
        <v>-23.456246536735318</v>
      </c>
      <c r="Q164" s="24">
        <f t="shared" ref="Q164" si="483">(Q161+Q162/2+Q163/2)*(($D164+1)^(1/12)-1)</f>
        <v>-23.54806853841162</v>
      </c>
      <c r="R164" s="24">
        <f t="shared" ref="R164" si="484">(R161+R162/2+R163/2)*(($D164+1)^(1/12)-1)</f>
        <v>-23.640249987196338</v>
      </c>
      <c r="S164" s="24">
        <f t="shared" ref="S164" si="485">(S161+S162/2+S163/2)*(($D164+1)^(1/12)-1)</f>
        <v>-23.732792290183863</v>
      </c>
      <c r="T164" s="24">
        <f t="shared" ref="T164" si="486">(T161+T162/2+T163/2)*(($D164+1)^(1/12)-1)</f>
        <v>-23.825696859976809</v>
      </c>
      <c r="U164" s="24">
        <f t="shared" ref="U164" si="487">(U161+U162/2+U163/2)*(($D164+1)^(1/12)-1)</f>
        <v>-23.918965114707575</v>
      </c>
      <c r="V164" s="24">
        <f t="shared" ref="V164" si="488">(V161+V162/2+V163/2)*(($D164+1)^(1/12)-1)</f>
        <v>-24.012598478059999</v>
      </c>
      <c r="W164" s="24">
        <f t="shared" ref="W164" si="489">(W161+W162/2+W163/2)*(($D164+1)^(1/12)-1)</f>
        <v>-24.106598379291071</v>
      </c>
      <c r="X164" s="24">
        <f t="shared" ref="X164" si="490">(X161+X162/2+X163/2)*(($D164+1)^(1/12)-1)</f>
        <v>-24.200966253252776</v>
      </c>
      <c r="Y164" s="24">
        <f t="shared" ref="Y164" si="491">(Y161+Y162/2+Y163/2)*(($D164+1)^(1/12)-1)</f>
        <v>-24.295703540413964</v>
      </c>
      <c r="Z164" s="24">
        <f t="shared" ref="Z164" si="492">(Z161+Z162/2+Z163/2)*(($D164+1)^(1/12)-1)</f>
        <v>-24.390811686882373</v>
      </c>
      <c r="AA164" s="24">
        <f t="shared" ref="AA164" si="493">(AA161+AA162/2+AA163/2)*(($D164+1)^(1/12)-1)</f>
        <v>-24.48629214442667</v>
      </c>
      <c r="AB164" s="24">
        <f t="shared" ref="AB164" si="494">(AB161+AB162/2+AB163/2)*(($D164+1)^(1/12)-1)</f>
        <v>-24.582146370498638</v>
      </c>
      <c r="AC164" s="24">
        <f t="shared" ref="AC164" si="495">(AC161+AC162/2+AC163/2)*(($D164+1)^(1/12)-1)</f>
        <v>-24.678375828255405</v>
      </c>
      <c r="AD164" s="24">
        <f t="shared" ref="AD164" si="496">(AD161+AD162/2+AD163/2)*(($D164+1)^(1/12)-1)</f>
        <v>-24.774981986581786</v>
      </c>
      <c r="AE164" s="24">
        <f t="shared" ref="AE164" si="497">(AE161+AE162/2+AE163/2)*(($D164+1)^(1/12)-1)</f>
        <v>-24.871966320112712</v>
      </c>
      <c r="AF164" s="24">
        <f t="shared" ref="AF164" si="498">(AF161+AF162/2+AF163/2)*(($D164+1)^(1/12)-1)</f>
        <v>-24.969330309255717</v>
      </c>
      <c r="AG164" s="24">
        <f t="shared" ref="AG164" si="499">(AG161+AG162/2+AG163/2)*(($D164+1)^(1/12)-1)</f>
        <v>-25.067075440213561</v>
      </c>
      <c r="AH164" s="24">
        <f t="shared" ref="AH164" si="500">(AH161+AH162/2+AH163/2)*(($D164+1)^(1/12)-1)</f>
        <v>-25.1652032050069</v>
      </c>
      <c r="AI164" s="24">
        <f t="shared" ref="AI164" si="501">(AI161+AI162/2+AI163/2)*(($D164+1)^(1/12)-1)</f>
        <v>-25.263715101497066</v>
      </c>
      <c r="AJ164" s="24">
        <f t="shared" ref="AJ164" si="502">(AJ161+AJ162/2+AJ163/2)*(($D164+1)^(1/12)-1)</f>
        <v>-25.362612633408929</v>
      </c>
      <c r="AK164" s="24">
        <f t="shared" ref="AK164" si="503">(AK161+AK162/2+AK163/2)*(($D164+1)^(1/12)-1)</f>
        <v>-25.461897310353859</v>
      </c>
      <c r="AL164" s="24">
        <f t="shared" ref="AL164" si="504">(AL161+AL162/2+AL163/2)*(($D164+1)^(1/12)-1)</f>
        <v>-25.561570647852751</v>
      </c>
      <c r="AM164" s="24">
        <f t="shared" ref="AM164" si="505">(AM161+AM162/2+AM163/2)*(($D164+1)^(1/12)-1)</f>
        <v>-25.661634167359175</v>
      </c>
      <c r="AN164" s="24">
        <f t="shared" ref="AN164" si="506">(AN161+AN162/2+AN163/2)*(($D164+1)^(1/12)-1)</f>
        <v>-25.199823832488029</v>
      </c>
      <c r="AO164" s="24">
        <f t="shared" ref="AO164" si="507">(AO161+AO162/2+AO163/2)*(($D164+1)^(1/12)-1)</f>
        <v>-24.173940127561572</v>
      </c>
      <c r="AP164" s="24">
        <f t="shared" ref="AP164" si="508">(AP161+AP162/2+AP163/2)*(($D164+1)^(1/12)-1)</f>
        <v>-23.144040490455776</v>
      </c>
      <c r="AQ164" s="24">
        <f t="shared" ref="AQ164" si="509">(AQ161+AQ162/2+AQ163/2)*(($D164+1)^(1/12)-1)</f>
        <v>-22.110109200371884</v>
      </c>
      <c r="AR164" s="24">
        <f t="shared" ref="AR164" si="510">(AR161+AR162/2+AR163/2)*(($D164+1)^(1/12)-1)</f>
        <v>-21.072130474970386</v>
      </c>
      <c r="AS164" s="24">
        <f t="shared" ref="AS164" si="511">(AS161+AS162/2+AS163/2)*(($D164+1)^(1/12)-1)</f>
        <v>-20.030088470130099</v>
      </c>
      <c r="AT164" s="24">
        <f t="shared" ref="AT164" si="512">(AT161+AT162/2+AT163/2)*(($D164+1)^(1/12)-1)</f>
        <v>-18.983967279706334</v>
      </c>
      <c r="AU164" s="24">
        <f t="shared" ref="AU164" si="513">(AU161+AU162/2+AU163/2)*(($D164+1)^(1/12)-1)</f>
        <v>-17.933750935288078</v>
      </c>
      <c r="AV164" s="24">
        <f t="shared" ref="AV164" si="514">(AV161+AV162/2+AV163/2)*(($D164+1)^(1/12)-1)</f>
        <v>-16.879423405954253</v>
      </c>
      <c r="AW164" s="24">
        <f t="shared" ref="AW164" si="515">(AW161+AW162/2+AW163/2)*(($D164+1)^(1/12)-1)</f>
        <v>-15.820968598029019</v>
      </c>
      <c r="AX164" s="24">
        <f t="shared" ref="AX164" si="516">(AX161+AX162/2+AX163/2)*(($D164+1)^(1/12)-1)</f>
        <v>-14.758370354836112</v>
      </c>
      <c r="AY164" s="24">
        <f t="shared" ref="AY164" si="517">(AY161+AY162/2+AY163/2)*(($D164+1)^(1/12)-1)</f>
        <v>-13.691612456452214</v>
      </c>
      <c r="AZ164" s="24">
        <f t="shared" ref="AZ164" si="518">(AZ161+AZ162/2+AZ163/2)*(($D164+1)^(1/12)-1)</f>
        <v>-12.620678619459374</v>
      </c>
      <c r="BA164" s="24">
        <f t="shared" ref="BA164" si="519">(BA161+BA162/2+BA163/2)*(($D164+1)^(1/12)-1)</f>
        <v>-11.545552496696448</v>
      </c>
      <c r="BB164" s="24">
        <f t="shared" ref="BB164" si="520">(BB161+BB162/2+BB163/2)*(($D164+1)^(1/12)-1)</f>
        <v>-10.466217677009574</v>
      </c>
      <c r="BC164" s="24">
        <f t="shared" ref="BC164" si="521">(BC161+BC162/2+BC163/2)*(($D164+1)^(1/12)-1)</f>
        <v>-9.3826576850016536</v>
      </c>
      <c r="BD164" s="24">
        <f t="shared" ref="BD164" si="522">(BD161+BD162/2+BD163/2)*(($D164+1)^(1/12)-1)</f>
        <v>-8.2948559807808824</v>
      </c>
      <c r="BE164" s="24">
        <f t="shared" ref="BE164" si="523">(BE161+BE162/2+BE163/2)*(($D164+1)^(1/12)-1)</f>
        <v>-7.2027959597082676</v>
      </c>
      <c r="BF164" s="24">
        <f t="shared" ref="BF164" si="524">(BF161+BF162/2+BF163/2)*(($D164+1)^(1/12)-1)</f>
        <v>-6.1064609521441628</v>
      </c>
      <c r="BG164" s="24">
        <f t="shared" ref="BG164" si="525">(BG161+BG162/2+BG163/2)*(($D164+1)^(1/12)-1)</f>
        <v>-5.0058342231938289</v>
      </c>
      <c r="BH164" s="24">
        <f t="shared" ref="BH164" si="526">(BH161+BH162/2+BH163/2)*(($D164+1)^(1/12)-1)</f>
        <v>-3.9008989724519818</v>
      </c>
      <c r="BI164" s="24">
        <f t="shared" ref="BI164:BK164" si="527">(BI161+BI162/2+BI163/2)*(($D164+1)^(1/12)-1)</f>
        <v>-2.791638333746338</v>
      </c>
      <c r="BJ164" s="24">
        <f t="shared" si="527"/>
        <v>-1.67803537488017</v>
      </c>
      <c r="BK164" s="24">
        <f t="shared" si="527"/>
        <v>-0.56007309737384359</v>
      </c>
    </row>
    <row r="165" spans="3:63" x14ac:dyDescent="0.25">
      <c r="C165" t="s">
        <v>11</v>
      </c>
      <c r="E165">
        <f t="shared" ref="E165:AY165" si="528">SUM(E161:E164)</f>
        <v>0</v>
      </c>
      <c r="F165" s="25">
        <f t="shared" si="528"/>
        <v>0</v>
      </c>
      <c r="G165" s="25">
        <f t="shared" si="528"/>
        <v>-72.951509333485646</v>
      </c>
      <c r="H165" s="25">
        <f t="shared" si="528"/>
        <v>-802.75217920343778</v>
      </c>
      <c r="I165" s="25">
        <f t="shared" si="528"/>
        <v>-1535.4097323444289</v>
      </c>
      <c r="J165" s="25">
        <f t="shared" si="528"/>
        <v>-2270.9353523335117</v>
      </c>
      <c r="K165" s="25">
        <f t="shared" si="528"/>
        <v>-3009.3402665270542</v>
      </c>
      <c r="L165" s="25">
        <f t="shared" si="528"/>
        <v>-3750.6357462321198</v>
      </c>
      <c r="M165" s="25">
        <f t="shared" si="528"/>
        <v>-4494.8331068785155</v>
      </c>
      <c r="N165" s="25">
        <f t="shared" si="528"/>
        <v>-5241.9437081915194</v>
      </c>
      <c r="O165" s="25">
        <f t="shared" si="528"/>
        <v>-5991.9789543652723</v>
      </c>
      <c r="P165" s="25">
        <f t="shared" si="528"/>
        <v>-6015.4352009020076</v>
      </c>
      <c r="Q165" s="25">
        <f t="shared" si="528"/>
        <v>-6038.9832694404195</v>
      </c>
      <c r="R165" s="25">
        <f t="shared" si="528"/>
        <v>-6062.623519427616</v>
      </c>
      <c r="S165" s="25">
        <f t="shared" si="528"/>
        <v>-6086.3563117178001</v>
      </c>
      <c r="T165" s="25">
        <f t="shared" si="528"/>
        <v>-6110.1820085777772</v>
      </c>
      <c r="U165" s="25">
        <f t="shared" si="528"/>
        <v>-6134.1009736924843</v>
      </c>
      <c r="V165" s="25">
        <f t="shared" si="528"/>
        <v>-6158.1135721705441</v>
      </c>
      <c r="W165" s="25">
        <f t="shared" si="528"/>
        <v>-6182.2201705498355</v>
      </c>
      <c r="X165" s="25">
        <f t="shared" si="528"/>
        <v>-6206.4211368030883</v>
      </c>
      <c r="Y165" s="25">
        <f t="shared" si="528"/>
        <v>-6230.7168403435026</v>
      </c>
      <c r="Z165" s="25">
        <f t="shared" si="528"/>
        <v>-6255.107652030385</v>
      </c>
      <c r="AA165" s="25">
        <f t="shared" si="528"/>
        <v>-6279.5939441748114</v>
      </c>
      <c r="AB165" s="25">
        <f t="shared" si="528"/>
        <v>-6304.1760905453102</v>
      </c>
      <c r="AC165" s="25">
        <f t="shared" si="528"/>
        <v>-6328.8544663735656</v>
      </c>
      <c r="AD165" s="25">
        <f t="shared" si="528"/>
        <v>-6353.6294483601478</v>
      </c>
      <c r="AE165" s="25">
        <f t="shared" si="528"/>
        <v>-6378.5014146802605</v>
      </c>
      <c r="AF165" s="25">
        <f t="shared" si="528"/>
        <v>-6403.4707449895159</v>
      </c>
      <c r="AG165" s="25">
        <f t="shared" si="528"/>
        <v>-6428.5378204297294</v>
      </c>
      <c r="AH165" s="25">
        <f t="shared" si="528"/>
        <v>-6453.7030236347364</v>
      </c>
      <c r="AI165" s="25">
        <f t="shared" si="528"/>
        <v>-6478.9667387362333</v>
      </c>
      <c r="AJ165" s="25">
        <f t="shared" si="528"/>
        <v>-6504.3293513696426</v>
      </c>
      <c r="AK165" s="25">
        <f t="shared" si="528"/>
        <v>-6529.7912486799969</v>
      </c>
      <c r="AL165" s="25">
        <f t="shared" si="528"/>
        <v>-6555.3528193278498</v>
      </c>
      <c r="AM165" s="25">
        <f t="shared" si="528"/>
        <v>-6581.0144534952087</v>
      </c>
      <c r="AN165" s="25">
        <f t="shared" si="528"/>
        <v>-6318.9489282237828</v>
      </c>
      <c r="AO165" s="25">
        <f t="shared" si="528"/>
        <v>-6055.8575192474309</v>
      </c>
      <c r="AP165" s="25">
        <f t="shared" si="528"/>
        <v>-5791.7362106339733</v>
      </c>
      <c r="AQ165" s="25">
        <f t="shared" si="528"/>
        <v>-5526.5809707304315</v>
      </c>
      <c r="AR165" s="25">
        <f t="shared" si="528"/>
        <v>-5260.3877521014883</v>
      </c>
      <c r="AS165" s="25">
        <f t="shared" si="528"/>
        <v>-4993.1524914677047</v>
      </c>
      <c r="AT165" s="25">
        <f t="shared" si="528"/>
        <v>-4724.8711096434972</v>
      </c>
      <c r="AU165" s="25">
        <f t="shared" si="528"/>
        <v>-4455.5395114748717</v>
      </c>
      <c r="AV165" s="25">
        <f t="shared" si="528"/>
        <v>-4185.1535857769122</v>
      </c>
      <c r="AW165" s="25">
        <f t="shared" si="528"/>
        <v>-3913.7092052710282</v>
      </c>
      <c r="AX165" s="25">
        <f t="shared" si="528"/>
        <v>-3641.2022265219512</v>
      </c>
      <c r="AY165" s="25">
        <f t="shared" si="528"/>
        <v>-3367.6284898744902</v>
      </c>
      <c r="AZ165" s="25">
        <f t="shared" ref="AZ165:BI165" si="529">SUM(AZ161:AZ164)</f>
        <v>-3092.9838193900364</v>
      </c>
      <c r="BA165" s="25">
        <f t="shared" si="529"/>
        <v>-2817.2640227828197</v>
      </c>
      <c r="BB165" s="25">
        <f t="shared" si="529"/>
        <v>-2540.4648913559158</v>
      </c>
      <c r="BC165" s="25">
        <f t="shared" si="529"/>
        <v>-2262.5821999370041</v>
      </c>
      <c r="BD165" s="25">
        <f t="shared" si="529"/>
        <v>-1983.6117068138719</v>
      </c>
      <c r="BE165" s="25">
        <f t="shared" si="529"/>
        <v>-1703.549153669667</v>
      </c>
      <c r="BF165" s="25">
        <f t="shared" si="529"/>
        <v>-1422.3902655178977</v>
      </c>
      <c r="BG165" s="25">
        <f t="shared" si="529"/>
        <v>-1140.1307506371784</v>
      </c>
      <c r="BH165" s="25">
        <f t="shared" si="529"/>
        <v>-856.76630050571703</v>
      </c>
      <c r="BI165" s="25">
        <f t="shared" si="529"/>
        <v>-572.29258973555011</v>
      </c>
      <c r="BJ165" s="25">
        <f t="shared" ref="BJ165:BK165" si="530">SUM(BJ161:BJ164)</f>
        <v>-286.70527600651695</v>
      </c>
      <c r="BK165" s="25">
        <f t="shared" si="530"/>
        <v>2.2511437158811987E-11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9B8E-55EC-42DC-B5B7-3B5F4B546F74}">
  <dimension ref="A1:T57"/>
  <sheetViews>
    <sheetView zoomScale="90" zoomScaleNormal="90" workbookViewId="0">
      <selection activeCell="J19" sqref="J19"/>
    </sheetView>
  </sheetViews>
  <sheetFormatPr defaultRowHeight="15" x14ac:dyDescent="0.25"/>
  <cols>
    <col min="1" max="1" width="4.85546875" customWidth="1"/>
    <col min="4" max="4" width="10.28515625" customWidth="1"/>
    <col min="6" max="6" width="3.42578125" customWidth="1"/>
    <col min="7" max="7" width="10" customWidth="1"/>
    <col min="9" max="9" width="6.42578125" customWidth="1"/>
    <col min="10" max="10" width="11.85546875" customWidth="1"/>
    <col min="11" max="11" width="8.85546875" customWidth="1"/>
    <col min="12" max="12" width="11" customWidth="1"/>
    <col min="13" max="13" width="10.28515625" customWidth="1"/>
    <col min="19" max="19" width="12.140625" customWidth="1"/>
  </cols>
  <sheetData>
    <row r="1" spans="1:20" ht="15.75" x14ac:dyDescent="0.25">
      <c r="A1" s="86" t="s">
        <v>109</v>
      </c>
    </row>
    <row r="2" spans="1:20" ht="15.75" thickBot="1" x14ac:dyDescent="0.3">
      <c r="B2" s="3" t="s">
        <v>137</v>
      </c>
    </row>
    <row r="3" spans="1:20" ht="15.75" thickBot="1" x14ac:dyDescent="0.3">
      <c r="C3" s="49" t="s">
        <v>61</v>
      </c>
      <c r="D3" s="52"/>
      <c r="E3" s="51"/>
      <c r="G3" s="49" t="s">
        <v>77</v>
      </c>
      <c r="H3" s="50"/>
      <c r="I3" s="50"/>
      <c r="J3" s="50"/>
      <c r="K3" s="51"/>
      <c r="M3" s="49" t="s">
        <v>79</v>
      </c>
      <c r="N3" s="50"/>
      <c r="O3" s="51"/>
    </row>
    <row r="4" spans="1:20" x14ac:dyDescent="0.25">
      <c r="B4" t="s">
        <v>73</v>
      </c>
      <c r="E4" t="s">
        <v>19</v>
      </c>
      <c r="G4" t="s">
        <v>16</v>
      </c>
      <c r="H4" t="s">
        <v>19</v>
      </c>
      <c r="J4" t="s">
        <v>75</v>
      </c>
      <c r="K4" t="s">
        <v>19</v>
      </c>
      <c r="M4" t="s">
        <v>31</v>
      </c>
      <c r="N4" t="s">
        <v>19</v>
      </c>
    </row>
    <row r="5" spans="1:20" x14ac:dyDescent="0.25">
      <c r="B5">
        <v>2021</v>
      </c>
      <c r="C5" t="s">
        <v>16</v>
      </c>
      <c r="D5" s="10">
        <f>D38+D46+D54</f>
        <v>6838321</v>
      </c>
      <c r="G5" s="10">
        <f>G38+G46+G54</f>
        <v>6838321</v>
      </c>
      <c r="J5" s="10"/>
      <c r="K5" s="10"/>
      <c r="L5" s="10"/>
      <c r="S5" s="10"/>
    </row>
    <row r="6" spans="1:20" x14ac:dyDescent="0.25">
      <c r="B6">
        <f>B5+1</f>
        <v>2022</v>
      </c>
      <c r="C6" t="s">
        <v>17</v>
      </c>
      <c r="D6" s="10">
        <f>D39+D47+D55</f>
        <v>7172062.7132663419</v>
      </c>
      <c r="E6" s="9">
        <f>D6/D5-1</f>
        <v>4.8804628104814229E-2</v>
      </c>
      <c r="G6" s="10">
        <f>G39+G47+G55</f>
        <v>7462488</v>
      </c>
      <c r="H6" s="9">
        <f>G6/G5-1</f>
        <v>9.1274890429975386E-2</v>
      </c>
      <c r="J6" s="10">
        <f>J39+J47+J55</f>
        <v>7363648.5574992653</v>
      </c>
      <c r="K6" s="9"/>
      <c r="L6" s="10"/>
      <c r="M6" s="9"/>
      <c r="N6" s="9"/>
      <c r="S6" s="10"/>
    </row>
    <row r="7" spans="1:20" x14ac:dyDescent="0.25">
      <c r="B7">
        <f t="shared" ref="B7:B11" si="0">B6+1</f>
        <v>2023</v>
      </c>
      <c r="C7" t="s">
        <v>74</v>
      </c>
      <c r="D7" s="10">
        <f>D40+D48+D56</f>
        <v>7291394.9537971811</v>
      </c>
      <c r="E7" s="9">
        <f>D7/D6-1</f>
        <v>1.6638482581880831E-2</v>
      </c>
      <c r="G7" s="10">
        <f>G40+G48+G56</f>
        <v>7829798.5</v>
      </c>
      <c r="H7" s="9">
        <f>G7/G6-1</f>
        <v>4.9220916670150716E-2</v>
      </c>
      <c r="J7" s="10">
        <f>J40+J48+J56</f>
        <v>7576774.3259005733</v>
      </c>
      <c r="K7" s="9">
        <f>J7/J6-1</f>
        <v>2.894295765707855E-2</v>
      </c>
      <c r="L7" s="10"/>
      <c r="M7" s="9"/>
      <c r="N7" s="9"/>
      <c r="S7" s="10"/>
    </row>
    <row r="8" spans="1:20" x14ac:dyDescent="0.25">
      <c r="B8">
        <f t="shared" si="0"/>
        <v>2024</v>
      </c>
      <c r="G8" s="10">
        <f>G41+G49+G57</f>
        <v>7858321.5</v>
      </c>
      <c r="H8" s="9">
        <f>G8/G7-1</f>
        <v>3.6428779105872611E-3</v>
      </c>
      <c r="J8" s="10">
        <f>J41+J49+J57</f>
        <v>7691671.9397070948</v>
      </c>
      <c r="K8" s="9">
        <f>J8/J7-1</f>
        <v>1.5164449786204237E-2</v>
      </c>
      <c r="M8" s="10">
        <f>J8</f>
        <v>7691671.9397070948</v>
      </c>
      <c r="N8" s="9"/>
      <c r="S8" s="10"/>
    </row>
    <row r="9" spans="1:20" x14ac:dyDescent="0.25">
      <c r="B9">
        <f t="shared" si="0"/>
        <v>2025</v>
      </c>
      <c r="M9" s="10">
        <f>M8*(1+N9)</f>
        <v>7819649.6893014526</v>
      </c>
      <c r="N9" s="5">
        <f>E7</f>
        <v>1.6638482581880831E-2</v>
      </c>
      <c r="S9" s="10"/>
    </row>
    <row r="10" spans="1:20" x14ac:dyDescent="0.25">
      <c r="B10">
        <f t="shared" si="0"/>
        <v>2026</v>
      </c>
      <c r="M10" s="10">
        <f>M9*(1+N10)</f>
        <v>7949756.7944533043</v>
      </c>
      <c r="N10" s="5">
        <f>N9</f>
        <v>1.6638482581880831E-2</v>
      </c>
      <c r="S10" s="10"/>
    </row>
    <row r="11" spans="1:20" x14ac:dyDescent="0.25">
      <c r="B11">
        <f t="shared" si="0"/>
        <v>2027</v>
      </c>
      <c r="M11" s="10">
        <f>M10*(1+N11)</f>
        <v>8082028.6844080044</v>
      </c>
      <c r="N11" s="5">
        <f>N10</f>
        <v>1.6638482581880831E-2</v>
      </c>
      <c r="S11" s="10"/>
    </row>
    <row r="12" spans="1:20" x14ac:dyDescent="0.25">
      <c r="S12" s="10"/>
      <c r="T12" s="9"/>
    </row>
    <row r="13" spans="1:20" ht="15.75" thickBot="1" x14ac:dyDescent="0.3">
      <c r="B13" s="3" t="s">
        <v>28</v>
      </c>
    </row>
    <row r="14" spans="1:20" ht="15.75" thickBot="1" x14ac:dyDescent="0.3">
      <c r="C14" s="49" t="s">
        <v>61</v>
      </c>
      <c r="D14" s="52"/>
      <c r="E14" s="51"/>
      <c r="G14" s="49" t="s">
        <v>77</v>
      </c>
      <c r="H14" s="50"/>
      <c r="I14" s="50"/>
      <c r="J14" s="50"/>
      <c r="K14" s="51"/>
      <c r="M14" s="49" t="s">
        <v>79</v>
      </c>
      <c r="N14" s="50"/>
      <c r="O14" s="51"/>
    </row>
    <row r="15" spans="1:20" x14ac:dyDescent="0.25">
      <c r="B15" t="s">
        <v>73</v>
      </c>
      <c r="E15" t="s">
        <v>19</v>
      </c>
      <c r="G15" t="s">
        <v>16</v>
      </c>
      <c r="H15" t="s">
        <v>19</v>
      </c>
      <c r="J15" t="s">
        <v>75</v>
      </c>
      <c r="K15" t="s">
        <v>19</v>
      </c>
      <c r="M15" t="s">
        <v>31</v>
      </c>
      <c r="N15" t="s">
        <v>19</v>
      </c>
    </row>
    <row r="16" spans="1:20" x14ac:dyDescent="0.25">
      <c r="B16">
        <v>2021</v>
      </c>
      <c r="C16" t="s">
        <v>16</v>
      </c>
      <c r="D16" s="10">
        <f>Data!C5</f>
        <v>662267.5</v>
      </c>
      <c r="G16" s="10">
        <f>D16</f>
        <v>662267.5</v>
      </c>
      <c r="H16" s="9"/>
      <c r="J16" s="10"/>
      <c r="K16" s="9"/>
      <c r="L16" s="10"/>
      <c r="Q16" s="9"/>
      <c r="S16" s="10"/>
    </row>
    <row r="17" spans="2:19" x14ac:dyDescent="0.25">
      <c r="B17">
        <f>B16+1</f>
        <v>2022</v>
      </c>
      <c r="C17" t="s">
        <v>17</v>
      </c>
      <c r="D17" s="10">
        <f>Data!E5</f>
        <v>682529.1460694985</v>
      </c>
      <c r="E17" s="9">
        <f>D17/D16-1</f>
        <v>3.0594353595033041E-2</v>
      </c>
      <c r="G17" s="10">
        <f>Data!H35</f>
        <v>669409.5</v>
      </c>
      <c r="H17" s="9">
        <f>G17/G16-1</f>
        <v>1.0784161988924401E-2</v>
      </c>
      <c r="J17" s="10">
        <f>Data!V35</f>
        <v>674766.16405719379</v>
      </c>
      <c r="K17" s="9"/>
      <c r="L17" s="10"/>
      <c r="M17" s="9"/>
      <c r="N17" s="9"/>
      <c r="Q17" s="9"/>
      <c r="S17" s="10"/>
    </row>
    <row r="18" spans="2:19" x14ac:dyDescent="0.25">
      <c r="B18">
        <f t="shared" ref="B18:B22" si="1">B17+1</f>
        <v>2023</v>
      </c>
      <c r="C18" t="s">
        <v>74</v>
      </c>
      <c r="D18" s="10">
        <f>Data!H5</f>
        <v>725574.05841417518</v>
      </c>
      <c r="E18" s="9">
        <f>D18/D17-1</f>
        <v>6.3066775378840312E-2</v>
      </c>
      <c r="G18" s="10">
        <f>Data!H36</f>
        <v>579655.5</v>
      </c>
      <c r="H18" s="9">
        <f>G18/G17-1</f>
        <v>-0.13407936397675857</v>
      </c>
      <c r="J18" s="10">
        <f>Data!V36</f>
        <v>577701.67838742782</v>
      </c>
      <c r="K18" s="9">
        <f>J18/J17-1</f>
        <v>-0.14384907074495612</v>
      </c>
      <c r="L18" s="10"/>
      <c r="M18" s="9"/>
      <c r="N18" s="9"/>
      <c r="O18" s="28"/>
      <c r="Q18" s="9"/>
      <c r="S18" s="10"/>
    </row>
    <row r="19" spans="2:19" x14ac:dyDescent="0.25">
      <c r="B19">
        <f t="shared" si="1"/>
        <v>2024</v>
      </c>
      <c r="G19" s="10">
        <f>Data!H37</f>
        <v>634619.5</v>
      </c>
      <c r="H19" s="9">
        <f>G19/G18-1</f>
        <v>9.4821838143517967E-2</v>
      </c>
      <c r="J19" s="10">
        <f>Data!V37</f>
        <v>637200.90907772456</v>
      </c>
      <c r="K19" s="9">
        <f>J19/J18-1</f>
        <v>0.10299300299140612</v>
      </c>
      <c r="L19" s="10"/>
      <c r="M19" s="10">
        <f>J19</f>
        <v>637200.90907772456</v>
      </c>
      <c r="N19" s="9"/>
      <c r="Q19" s="9"/>
      <c r="S19" s="10"/>
    </row>
    <row r="20" spans="2:19" x14ac:dyDescent="0.25">
      <c r="B20">
        <f t="shared" si="1"/>
        <v>2025</v>
      </c>
      <c r="L20" s="10"/>
      <c r="M20" s="10">
        <f>M19*(1+N20)</f>
        <v>677387.11568172229</v>
      </c>
      <c r="N20" s="5">
        <f>E18</f>
        <v>6.3066775378840312E-2</v>
      </c>
      <c r="S20" s="10"/>
    </row>
    <row r="21" spans="2:19" x14ac:dyDescent="0.25">
      <c r="B21">
        <f t="shared" si="1"/>
        <v>2026</v>
      </c>
      <c r="L21" s="10"/>
      <c r="M21" s="10">
        <f>M20*(1+N21)</f>
        <v>720107.73675094196</v>
      </c>
      <c r="N21" s="5">
        <f>N20</f>
        <v>6.3066775378840312E-2</v>
      </c>
      <c r="S21" s="10"/>
    </row>
    <row r="22" spans="2:19" x14ac:dyDescent="0.25">
      <c r="B22">
        <f t="shared" si="1"/>
        <v>2027</v>
      </c>
      <c r="L22" s="10"/>
      <c r="M22" s="10">
        <f>M21*(1+N22)</f>
        <v>765522.60963317868</v>
      </c>
      <c r="N22" s="5">
        <f>N21</f>
        <v>6.3066775378840312E-2</v>
      </c>
      <c r="S22" s="10"/>
    </row>
    <row r="24" spans="2:19" ht="15.75" thickBot="1" x14ac:dyDescent="0.3">
      <c r="B24" s="3" t="s">
        <v>3</v>
      </c>
    </row>
    <row r="25" spans="2:19" ht="15.75" thickBot="1" x14ac:dyDescent="0.3">
      <c r="C25" s="49" t="s">
        <v>61</v>
      </c>
      <c r="D25" s="52"/>
      <c r="E25" s="51"/>
      <c r="G25" s="49" t="s">
        <v>77</v>
      </c>
      <c r="H25" s="50"/>
      <c r="I25" s="50"/>
      <c r="J25" s="50"/>
      <c r="K25" s="51"/>
      <c r="M25" s="49" t="s">
        <v>79</v>
      </c>
      <c r="N25" s="50"/>
      <c r="O25" s="51"/>
    </row>
    <row r="26" spans="2:19" x14ac:dyDescent="0.25">
      <c r="B26" t="s">
        <v>73</v>
      </c>
      <c r="E26" t="s">
        <v>19</v>
      </c>
      <c r="G26" t="s">
        <v>16</v>
      </c>
      <c r="H26" t="s">
        <v>19</v>
      </c>
      <c r="J26" t="s">
        <v>75</v>
      </c>
      <c r="K26" t="s">
        <v>19</v>
      </c>
      <c r="M26" t="s">
        <v>31</v>
      </c>
      <c r="N26" t="s">
        <v>19</v>
      </c>
    </row>
    <row r="27" spans="2:19" x14ac:dyDescent="0.25">
      <c r="B27">
        <v>2021</v>
      </c>
      <c r="C27" t="s">
        <v>16</v>
      </c>
      <c r="D27" s="10">
        <f>Data!C6</f>
        <v>4762463</v>
      </c>
      <c r="G27" s="10">
        <f>D27</f>
        <v>4762463</v>
      </c>
      <c r="J27" s="10"/>
      <c r="K27" s="9"/>
      <c r="L27" s="10"/>
      <c r="S27" s="10"/>
    </row>
    <row r="28" spans="2:19" x14ac:dyDescent="0.25">
      <c r="B28">
        <f>B27+1</f>
        <v>2022</v>
      </c>
      <c r="C28" t="s">
        <v>17</v>
      </c>
      <c r="D28" s="10">
        <f>Data!E6</f>
        <v>5068056.9360864377</v>
      </c>
      <c r="E28" s="9">
        <f>D28/D27-1</f>
        <v>6.4167204256796895E-2</v>
      </c>
      <c r="G28" s="10">
        <f>Data!I35</f>
        <v>4899949</v>
      </c>
      <c r="H28" s="9">
        <f>G28/G27-1</f>
        <v>2.8868675725144843E-2</v>
      </c>
      <c r="J28" s="10">
        <f>Data!W35</f>
        <v>4915948.9207408009</v>
      </c>
      <c r="K28" s="9"/>
      <c r="L28" s="10"/>
      <c r="M28" s="9"/>
      <c r="N28" s="9"/>
      <c r="Q28" s="9"/>
      <c r="S28" s="10"/>
    </row>
    <row r="29" spans="2:19" x14ac:dyDescent="0.25">
      <c r="B29">
        <f t="shared" ref="B29:B33" si="2">B28+1</f>
        <v>2023</v>
      </c>
      <c r="C29" t="s">
        <v>74</v>
      </c>
      <c r="D29" s="10">
        <f>Data!H6</f>
        <v>5045099.046327509</v>
      </c>
      <c r="E29" s="9">
        <f>D29/D28-1</f>
        <v>-4.5299194638994678E-3</v>
      </c>
      <c r="G29" s="10">
        <f>Data!I36</f>
        <v>5348301</v>
      </c>
      <c r="H29" s="9">
        <f>G29/G28-1</f>
        <v>9.1501360524364639E-2</v>
      </c>
      <c r="J29" s="10">
        <f>Data!W36</f>
        <v>5342103.6842562091</v>
      </c>
      <c r="K29" s="9">
        <f>J29/J28-1</f>
        <v>8.6688200057861708E-2</v>
      </c>
      <c r="L29" s="10"/>
      <c r="M29" s="9"/>
      <c r="N29" s="9"/>
      <c r="Q29" s="9"/>
      <c r="S29" s="10"/>
    </row>
    <row r="30" spans="2:19" x14ac:dyDescent="0.25">
      <c r="B30">
        <f t="shared" si="2"/>
        <v>2024</v>
      </c>
      <c r="G30" s="10">
        <f>Data!I37</f>
        <v>6202145</v>
      </c>
      <c r="H30" s="9">
        <f>G30/G29-1</f>
        <v>0.15964770868356148</v>
      </c>
      <c r="J30" s="10">
        <f>Data!W37</f>
        <v>6209870.509751657</v>
      </c>
      <c r="K30" s="9">
        <f>J30/J29-1</f>
        <v>0.16243915820145083</v>
      </c>
      <c r="L30" s="10"/>
      <c r="M30" s="10">
        <f>J30</f>
        <v>6209870.509751657</v>
      </c>
      <c r="N30" s="9"/>
      <c r="Q30" s="9"/>
      <c r="S30" s="10"/>
    </row>
    <row r="31" spans="2:19" x14ac:dyDescent="0.25">
      <c r="B31">
        <f t="shared" si="2"/>
        <v>2025</v>
      </c>
      <c r="M31" s="10">
        <f>M30*(1+N31)</f>
        <v>6181740.2964612376</v>
      </c>
      <c r="N31" s="5">
        <f>E29</f>
        <v>-4.5299194638994678E-3</v>
      </c>
      <c r="S31" s="10"/>
    </row>
    <row r="32" spans="2:19" x14ac:dyDescent="0.25">
      <c r="B32">
        <f t="shared" si="2"/>
        <v>2026</v>
      </c>
      <c r="M32" s="10">
        <f>M31*(1+N32)</f>
        <v>6153737.510771526</v>
      </c>
      <c r="N32" s="5">
        <f>N31</f>
        <v>-4.5299194638994678E-3</v>
      </c>
      <c r="S32" s="10"/>
    </row>
    <row r="33" spans="2:20" x14ac:dyDescent="0.25">
      <c r="B33">
        <f t="shared" si="2"/>
        <v>2027</v>
      </c>
      <c r="M33" s="10">
        <f>M32*(1+N33)</f>
        <v>6125861.5754457535</v>
      </c>
      <c r="N33" s="5">
        <f>N32</f>
        <v>-4.5299194638994678E-3</v>
      </c>
      <c r="S33" s="10"/>
    </row>
    <row r="34" spans="2:20" x14ac:dyDescent="0.25">
      <c r="S34" s="10"/>
      <c r="T34" s="9"/>
    </row>
    <row r="35" spans="2:20" s="13" customFormat="1" ht="15.75" thickBot="1" x14ac:dyDescent="0.3">
      <c r="B35" s="62" t="s">
        <v>78</v>
      </c>
    </row>
    <row r="36" spans="2:20" s="13" customFormat="1" ht="15.75" thickBot="1" x14ac:dyDescent="0.3">
      <c r="C36" s="63" t="s">
        <v>61</v>
      </c>
      <c r="D36" s="64"/>
      <c r="E36" s="65"/>
      <c r="G36" s="63" t="s">
        <v>77</v>
      </c>
      <c r="H36" s="66"/>
      <c r="I36" s="66"/>
      <c r="J36" s="66"/>
      <c r="K36" s="65"/>
    </row>
    <row r="37" spans="2:20" s="13" customFormat="1" x14ac:dyDescent="0.25">
      <c r="B37" s="13" t="s">
        <v>73</v>
      </c>
      <c r="E37" s="13" t="s">
        <v>19</v>
      </c>
      <c r="G37" s="13" t="s">
        <v>16</v>
      </c>
      <c r="H37" s="13" t="s">
        <v>19</v>
      </c>
      <c r="J37" s="13" t="s">
        <v>75</v>
      </c>
      <c r="K37" s="13" t="s">
        <v>19</v>
      </c>
    </row>
    <row r="38" spans="2:20" s="13" customFormat="1" x14ac:dyDescent="0.25">
      <c r="B38" s="13">
        <v>2021</v>
      </c>
      <c r="C38" s="13" t="s">
        <v>16</v>
      </c>
      <c r="D38" s="15">
        <f>Data!C4</f>
        <v>6634291</v>
      </c>
      <c r="G38" s="15">
        <f>D38</f>
        <v>6634291</v>
      </c>
      <c r="H38" s="14"/>
      <c r="J38" s="15"/>
      <c r="K38" s="14"/>
    </row>
    <row r="39" spans="2:20" s="13" customFormat="1" x14ac:dyDescent="0.25">
      <c r="B39" s="13">
        <f>B38+1</f>
        <v>2022</v>
      </c>
      <c r="C39" s="13" t="s">
        <v>17</v>
      </c>
      <c r="D39" s="15">
        <f>Data!E4</f>
        <v>6964908.1440178528</v>
      </c>
      <c r="E39" s="14">
        <f>D39/D38-1</f>
        <v>4.9834585793395725E-2</v>
      </c>
      <c r="G39" s="15">
        <f>Data!M35</f>
        <v>7263332</v>
      </c>
      <c r="H39" s="14">
        <f>G39/G38-1</f>
        <v>9.4816612656876131E-2</v>
      </c>
      <c r="J39" s="15">
        <f>Data!U35</f>
        <v>7161862.0351755535</v>
      </c>
      <c r="K39" s="14"/>
    </row>
    <row r="40" spans="2:20" s="13" customFormat="1" x14ac:dyDescent="0.25">
      <c r="B40" s="13">
        <f t="shared" ref="B40:B41" si="3">B39+1</f>
        <v>2023</v>
      </c>
      <c r="C40" s="13" t="s">
        <v>74</v>
      </c>
      <c r="D40" s="15">
        <f>Data!H4</f>
        <v>7086505.8601759057</v>
      </c>
      <c r="E40" s="14">
        <f>D40/D39-1</f>
        <v>1.7458624527947775E-2</v>
      </c>
      <c r="G40" s="15">
        <f>Data!M36</f>
        <v>7614905.5</v>
      </c>
      <c r="H40" s="14">
        <f>G40/G39-1</f>
        <v>4.840388681117691E-2</v>
      </c>
      <c r="J40" s="15">
        <f>Data!U36</f>
        <v>7362940.391672723</v>
      </c>
      <c r="K40" s="14">
        <f>J40/J39-1</f>
        <v>2.8076267807110922E-2</v>
      </c>
    </row>
    <row r="41" spans="2:20" s="13" customFormat="1" x14ac:dyDescent="0.25">
      <c r="B41" s="13">
        <f t="shared" si="3"/>
        <v>2024</v>
      </c>
      <c r="G41" s="15">
        <f>Data!M37</f>
        <v>7642189.5</v>
      </c>
      <c r="H41" s="14">
        <f t="shared" ref="H41" si="4">G41/G40-1</f>
        <v>3.5829728944107853E-3</v>
      </c>
      <c r="J41" s="15">
        <f>Data!U37</f>
        <v>7473718.2573948037</v>
      </c>
      <c r="K41" s="14">
        <f>J41/J40-1</f>
        <v>1.5045329695642762E-2</v>
      </c>
    </row>
    <row r="42" spans="2:20" s="13" customFormat="1" x14ac:dyDescent="0.25"/>
    <row r="43" spans="2:20" s="13" customFormat="1" ht="15.75" thickBot="1" x14ac:dyDescent="0.3">
      <c r="B43" s="62" t="s">
        <v>58</v>
      </c>
    </row>
    <row r="44" spans="2:20" s="13" customFormat="1" ht="15.75" thickBot="1" x14ac:dyDescent="0.3">
      <c r="C44" s="63" t="s">
        <v>61</v>
      </c>
      <c r="D44" s="64"/>
      <c r="E44" s="65"/>
      <c r="G44" s="63" t="s">
        <v>77</v>
      </c>
      <c r="H44" s="66"/>
      <c r="I44" s="66"/>
      <c r="J44" s="66"/>
      <c r="K44" s="65"/>
    </row>
    <row r="45" spans="2:20" s="13" customFormat="1" x14ac:dyDescent="0.25">
      <c r="B45" s="13" t="s">
        <v>73</v>
      </c>
      <c r="E45" s="13" t="s">
        <v>19</v>
      </c>
      <c r="G45" s="13" t="s">
        <v>16</v>
      </c>
      <c r="H45" s="13" t="s">
        <v>19</v>
      </c>
      <c r="J45" s="13" t="s">
        <v>75</v>
      </c>
      <c r="K45" s="13" t="s">
        <v>19</v>
      </c>
    </row>
    <row r="46" spans="2:20" s="13" customFormat="1" x14ac:dyDescent="0.25">
      <c r="B46" s="13">
        <v>2021</v>
      </c>
      <c r="C46" s="13" t="s">
        <v>16</v>
      </c>
      <c r="D46" s="15">
        <f>Data!C7</f>
        <v>171685</v>
      </c>
      <c r="G46" s="15">
        <f>D46</f>
        <v>171685</v>
      </c>
      <c r="J46" s="67"/>
      <c r="K46" s="15"/>
      <c r="L46" s="15"/>
    </row>
    <row r="47" spans="2:20" s="13" customFormat="1" x14ac:dyDescent="0.25">
      <c r="B47" s="13">
        <f>B46+1</f>
        <v>2022</v>
      </c>
      <c r="C47" s="13" t="s">
        <v>17</v>
      </c>
      <c r="D47" s="15">
        <f>Data!E7</f>
        <v>175130.88831340912</v>
      </c>
      <c r="E47" s="14">
        <f>D47/D46-1</f>
        <v>2.0070992302234414E-2</v>
      </c>
      <c r="G47" s="15">
        <f>Data!J35</f>
        <v>167146</v>
      </c>
      <c r="H47" s="14">
        <f>G47/G46-1</f>
        <v>-2.6437953228296007E-2</v>
      </c>
      <c r="J47" s="15">
        <f>Data!X35</f>
        <v>169299.86870229157</v>
      </c>
      <c r="K47" s="14"/>
      <c r="L47" s="15"/>
    </row>
    <row r="48" spans="2:20" s="13" customFormat="1" x14ac:dyDescent="0.25">
      <c r="B48" s="13">
        <f t="shared" ref="B48:B49" si="5">B47+1</f>
        <v>2023</v>
      </c>
      <c r="C48" s="13" t="s">
        <v>74</v>
      </c>
      <c r="D48" s="15">
        <f>Data!H7</f>
        <v>172865.4126861956</v>
      </c>
      <c r="E48" s="14">
        <f>D48/D47-1</f>
        <v>-1.2935899823446784E-2</v>
      </c>
      <c r="G48" s="15">
        <f>Data!J36</f>
        <v>184242</v>
      </c>
      <c r="H48" s="14">
        <f>G48/G47-1</f>
        <v>0.10228183743553543</v>
      </c>
      <c r="J48" s="15">
        <f>Data!X36</f>
        <v>183362.58031000133</v>
      </c>
      <c r="K48" s="14">
        <f>J48/J47-1</f>
        <v>8.306392506682081E-2</v>
      </c>
      <c r="L48" s="15"/>
    </row>
    <row r="49" spans="2:17" s="13" customFormat="1" x14ac:dyDescent="0.25">
      <c r="B49" s="13">
        <f t="shared" si="5"/>
        <v>2024</v>
      </c>
      <c r="G49" s="15">
        <f>Data!J37</f>
        <v>169332</v>
      </c>
      <c r="H49" s="14">
        <f>G49/G48-1</f>
        <v>-8.0926173185267181E-2</v>
      </c>
      <c r="J49" s="15">
        <f>Data!X37</f>
        <v>170556.96966698184</v>
      </c>
      <c r="K49" s="14">
        <f>J49/J48-1</f>
        <v>-6.9837644198558535E-2</v>
      </c>
      <c r="L49" s="15"/>
    </row>
    <row r="50" spans="2:17" s="13" customFormat="1" x14ac:dyDescent="0.25"/>
    <row r="51" spans="2:17" s="13" customFormat="1" ht="15.75" thickBot="1" x14ac:dyDescent="0.3">
      <c r="B51" s="62" t="s">
        <v>53</v>
      </c>
    </row>
    <row r="52" spans="2:17" s="13" customFormat="1" ht="15.75" thickBot="1" x14ac:dyDescent="0.3">
      <c r="C52" s="63" t="s">
        <v>61</v>
      </c>
      <c r="D52" s="64"/>
      <c r="E52" s="65"/>
      <c r="G52" s="63" t="s">
        <v>77</v>
      </c>
      <c r="H52" s="66"/>
      <c r="I52" s="66"/>
      <c r="J52" s="66"/>
      <c r="K52" s="65"/>
    </row>
    <row r="53" spans="2:17" s="13" customFormat="1" x14ac:dyDescent="0.25">
      <c r="B53" s="13" t="s">
        <v>73</v>
      </c>
      <c r="E53" s="13" t="s">
        <v>19</v>
      </c>
      <c r="G53" s="13" t="s">
        <v>16</v>
      </c>
      <c r="H53" s="13" t="s">
        <v>19</v>
      </c>
      <c r="J53" s="13" t="s">
        <v>75</v>
      </c>
      <c r="K53" s="13" t="s">
        <v>19</v>
      </c>
    </row>
    <row r="54" spans="2:17" s="13" customFormat="1" x14ac:dyDescent="0.25">
      <c r="B54" s="13">
        <v>2021</v>
      </c>
      <c r="C54" s="13" t="s">
        <v>16</v>
      </c>
      <c r="D54" s="15">
        <f>Data!C8</f>
        <v>32345</v>
      </c>
      <c r="G54" s="15">
        <f>D54</f>
        <v>32345</v>
      </c>
      <c r="J54" s="67"/>
      <c r="K54" s="15"/>
      <c r="L54" s="15"/>
    </row>
    <row r="55" spans="2:17" s="13" customFormat="1" x14ac:dyDescent="0.25">
      <c r="B55" s="13">
        <f>B54+1</f>
        <v>2022</v>
      </c>
      <c r="C55" s="13" t="s">
        <v>17</v>
      </c>
      <c r="D55" s="15">
        <f>Data!E8</f>
        <v>32023.680935080123</v>
      </c>
      <c r="E55" s="14">
        <f>D55/D54-1</f>
        <v>-9.9341185629889805E-3</v>
      </c>
      <c r="G55" s="15">
        <f>Data!K35</f>
        <v>32010</v>
      </c>
      <c r="H55" s="14">
        <f>G55/G54-1</f>
        <v>-1.0357087648786512E-2</v>
      </c>
      <c r="J55" s="15">
        <f>Data!Y35</f>
        <v>32486.653621420308</v>
      </c>
      <c r="K55" s="14"/>
      <c r="L55" s="15"/>
    </row>
    <row r="56" spans="2:17" s="13" customFormat="1" x14ac:dyDescent="0.25">
      <c r="B56" s="13">
        <f t="shared" ref="B56:B57" si="6">B55+1</f>
        <v>2023</v>
      </c>
      <c r="C56" s="13" t="s">
        <v>74</v>
      </c>
      <c r="D56" s="15">
        <f>Data!H8</f>
        <v>32023.680935080123</v>
      </c>
      <c r="E56" s="14">
        <f>D56/D55-1</f>
        <v>0</v>
      </c>
      <c r="G56" s="15">
        <f>Data!K36</f>
        <v>30651</v>
      </c>
      <c r="H56" s="14">
        <f>G56/G55-1</f>
        <v>-4.2455482661668209E-2</v>
      </c>
      <c r="J56" s="15">
        <f>Data!Y36</f>
        <v>30471.353917849428</v>
      </c>
      <c r="K56" s="14">
        <f>J56/J55-1</f>
        <v>-6.2034696680549395E-2</v>
      </c>
      <c r="L56" s="15"/>
    </row>
    <row r="57" spans="2:17" s="13" customFormat="1" x14ac:dyDescent="0.25">
      <c r="B57" s="13">
        <f t="shared" si="6"/>
        <v>2024</v>
      </c>
      <c r="G57" s="15">
        <f>Data!K37</f>
        <v>46800</v>
      </c>
      <c r="H57" s="14">
        <f>G57/G56-1</f>
        <v>0.52686698639522356</v>
      </c>
      <c r="J57" s="15">
        <f>Data!Y37</f>
        <v>47396.712645308704</v>
      </c>
      <c r="K57" s="14">
        <f>J57/J56-1</f>
        <v>0.55545148315660442</v>
      </c>
      <c r="L57" s="15"/>
      <c r="Q57" s="8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2ABC4-77AB-4D7D-B54C-A0D860B2C9A8}">
  <dimension ref="A1:Y100"/>
  <sheetViews>
    <sheetView zoomScale="90" zoomScaleNormal="90" workbookViewId="0">
      <selection activeCell="U41" sqref="U41"/>
    </sheetView>
  </sheetViews>
  <sheetFormatPr defaultRowHeight="15" x14ac:dyDescent="0.25"/>
  <cols>
    <col min="2" max="2" width="28.140625" customWidth="1"/>
    <col min="3" max="5" width="11.85546875" customWidth="1"/>
    <col min="7" max="7" width="9.28515625" customWidth="1"/>
    <col min="8" max="8" width="10.42578125" customWidth="1"/>
    <col min="9" max="9" width="9.42578125" customWidth="1"/>
    <col min="10" max="11" width="8.85546875" bestFit="1" customWidth="1"/>
    <col min="12" max="12" width="9.5703125" customWidth="1"/>
    <col min="13" max="13" width="12.42578125" customWidth="1"/>
    <col min="14" max="16" width="11.5703125" customWidth="1"/>
    <col min="17" max="25" width="10.140625" bestFit="1" customWidth="1"/>
  </cols>
  <sheetData>
    <row r="1" spans="1:19" s="13" customFormat="1" x14ac:dyDescent="0.25">
      <c r="A1" s="62" t="s">
        <v>54</v>
      </c>
    </row>
    <row r="2" spans="1:19" x14ac:dyDescent="0.25">
      <c r="B2" s="3" t="s">
        <v>15</v>
      </c>
      <c r="C2" s="3" t="s">
        <v>16</v>
      </c>
      <c r="D2" s="3"/>
      <c r="E2" s="3" t="s">
        <v>17</v>
      </c>
      <c r="F2" s="3"/>
      <c r="G2" s="3"/>
      <c r="H2" s="3" t="s">
        <v>18</v>
      </c>
      <c r="I2" s="3"/>
    </row>
    <row r="3" spans="1:19" x14ac:dyDescent="0.25">
      <c r="B3" s="3"/>
      <c r="C3" s="72">
        <v>2021</v>
      </c>
      <c r="D3" s="3"/>
      <c r="E3" s="72">
        <v>2022</v>
      </c>
      <c r="F3" s="72" t="s">
        <v>19</v>
      </c>
      <c r="G3" s="3"/>
      <c r="H3" s="72">
        <v>2023</v>
      </c>
      <c r="I3" s="72" t="s">
        <v>19</v>
      </c>
    </row>
    <row r="4" spans="1:19" x14ac:dyDescent="0.25">
      <c r="B4" t="s">
        <v>2</v>
      </c>
      <c r="C4" s="10">
        <v>6634291</v>
      </c>
      <c r="D4" s="10"/>
      <c r="E4" s="10">
        <v>6964908.1440178528</v>
      </c>
      <c r="F4" s="69">
        <f>E4/C4-1</f>
        <v>4.9834585793395725E-2</v>
      </c>
      <c r="H4" s="10">
        <v>7086505.8601759057</v>
      </c>
      <c r="I4" s="69">
        <f>H4/E4-1</f>
        <v>1.7458624527947775E-2</v>
      </c>
      <c r="J4" s="10"/>
    </row>
    <row r="5" spans="1:19" x14ac:dyDescent="0.25">
      <c r="B5" t="s">
        <v>20</v>
      </c>
      <c r="C5" s="10">
        <v>662267.5</v>
      </c>
      <c r="D5" s="10"/>
      <c r="E5" s="10">
        <v>682529.1460694985</v>
      </c>
      <c r="F5" s="69">
        <f t="shared" ref="F5:F11" si="0">E5/C5-1</f>
        <v>3.0594353595033041E-2</v>
      </c>
      <c r="H5" s="10">
        <v>725574.05841417518</v>
      </c>
      <c r="I5" s="69">
        <f t="shared" ref="I5:I11" si="1">H5/E5-1</f>
        <v>6.3066775378840312E-2</v>
      </c>
      <c r="J5" s="10"/>
    </row>
    <row r="6" spans="1:19" x14ac:dyDescent="0.25">
      <c r="B6" t="s">
        <v>21</v>
      </c>
      <c r="C6" s="10">
        <v>4762463</v>
      </c>
      <c r="D6" s="10"/>
      <c r="E6" s="10">
        <v>5068056.9360864377</v>
      </c>
      <c r="F6" s="69">
        <f t="shared" si="0"/>
        <v>6.4167204256796895E-2</v>
      </c>
      <c r="H6" s="10">
        <v>5045099.046327509</v>
      </c>
      <c r="I6" s="69">
        <f t="shared" si="1"/>
        <v>-4.5299194638994678E-3</v>
      </c>
      <c r="J6" s="10"/>
    </row>
    <row r="7" spans="1:19" x14ac:dyDescent="0.25">
      <c r="B7" t="s">
        <v>52</v>
      </c>
      <c r="C7" s="10">
        <v>171685</v>
      </c>
      <c r="D7" s="10"/>
      <c r="E7" s="10">
        <v>175130.88831340912</v>
      </c>
      <c r="F7" s="69">
        <f t="shared" si="0"/>
        <v>2.0070992302234414E-2</v>
      </c>
      <c r="H7" s="10">
        <v>172865.4126861956</v>
      </c>
      <c r="I7" s="69">
        <f t="shared" si="1"/>
        <v>-1.2935899823446784E-2</v>
      </c>
      <c r="J7" s="10"/>
    </row>
    <row r="8" spans="1:19" x14ac:dyDescent="0.25">
      <c r="B8" t="s">
        <v>53</v>
      </c>
      <c r="C8" s="10">
        <v>32345</v>
      </c>
      <c r="D8" s="10"/>
      <c r="E8" s="10">
        <v>32023.680935080123</v>
      </c>
      <c r="F8" s="69">
        <f t="shared" si="0"/>
        <v>-9.9341185629889805E-3</v>
      </c>
      <c r="H8" s="10">
        <v>32023.680935080123</v>
      </c>
      <c r="I8" s="69">
        <f t="shared" si="1"/>
        <v>0</v>
      </c>
      <c r="J8" s="10"/>
    </row>
    <row r="9" spans="1:19" x14ac:dyDescent="0.25">
      <c r="B9" t="s">
        <v>22</v>
      </c>
      <c r="C9" s="10">
        <v>62408</v>
      </c>
      <c r="D9" s="10"/>
      <c r="E9" s="10">
        <v>62408</v>
      </c>
      <c r="F9" s="69">
        <f t="shared" si="0"/>
        <v>0</v>
      </c>
      <c r="H9" s="10">
        <v>62408</v>
      </c>
      <c r="I9" s="69">
        <f t="shared" si="1"/>
        <v>0</v>
      </c>
      <c r="J9" s="10"/>
    </row>
    <row r="10" spans="1:19" x14ac:dyDescent="0.25">
      <c r="B10" t="s">
        <v>23</v>
      </c>
      <c r="C10" s="68">
        <v>12500</v>
      </c>
      <c r="D10" s="10"/>
      <c r="E10" s="68">
        <v>12500</v>
      </c>
      <c r="F10" s="69">
        <f t="shared" si="0"/>
        <v>0</v>
      </c>
      <c r="H10" s="68">
        <v>12500</v>
      </c>
      <c r="I10" s="69">
        <f t="shared" si="1"/>
        <v>0</v>
      </c>
      <c r="J10" s="10"/>
    </row>
    <row r="11" spans="1:19" x14ac:dyDescent="0.25">
      <c r="B11" t="s">
        <v>24</v>
      </c>
      <c r="C11" s="70">
        <f>SUM(C4:C10)</f>
        <v>12337959.5</v>
      </c>
      <c r="E11" s="70">
        <f>SUM(E4:E10)</f>
        <v>12997556.795422276</v>
      </c>
      <c r="F11" s="71">
        <f t="shared" si="0"/>
        <v>5.3460808930542836E-2</v>
      </c>
      <c r="H11" s="70">
        <f>SUM(H4:H10)</f>
        <v>13136976.058538863</v>
      </c>
      <c r="I11" s="71">
        <f t="shared" si="1"/>
        <v>1.0726574640988806E-2</v>
      </c>
      <c r="J11" s="10"/>
    </row>
    <row r="13" spans="1:19" x14ac:dyDescent="0.25">
      <c r="B13" t="s">
        <v>56</v>
      </c>
      <c r="C13" s="10">
        <f>C4+C7+C8</f>
        <v>6838321</v>
      </c>
      <c r="E13" s="10">
        <f>E4+E7+E8</f>
        <v>7172062.7132663419</v>
      </c>
      <c r="F13" s="69">
        <f>E13/C13-1</f>
        <v>4.8804628104814229E-2</v>
      </c>
      <c r="H13" s="10">
        <f>H4+H7+H8</f>
        <v>7291394.9537971811</v>
      </c>
      <c r="I13" s="69">
        <f>H13/E13-1</f>
        <v>1.6638482581880831E-2</v>
      </c>
    </row>
    <row r="15" spans="1:19" s="13" customFormat="1" x14ac:dyDescent="0.25">
      <c r="A15" s="62" t="s">
        <v>77</v>
      </c>
    </row>
    <row r="16" spans="1:19" ht="15.75" thickBot="1" x14ac:dyDescent="0.3">
      <c r="A16" s="3" t="s">
        <v>100</v>
      </c>
      <c r="R16" s="58"/>
      <c r="S16" s="58"/>
    </row>
    <row r="17" spans="1:25" ht="15.75" thickBot="1" x14ac:dyDescent="0.3">
      <c r="A17" s="3"/>
      <c r="G17" s="49" t="s">
        <v>45</v>
      </c>
      <c r="H17" s="50"/>
      <c r="I17" s="50"/>
      <c r="J17" s="50"/>
      <c r="K17" s="50"/>
      <c r="L17" s="51"/>
      <c r="R17" s="58"/>
      <c r="S17" s="58"/>
    </row>
    <row r="18" spans="1:25" x14ac:dyDescent="0.25">
      <c r="A18" s="3"/>
      <c r="G18" s="11" t="s">
        <v>2</v>
      </c>
      <c r="H18" s="11" t="s">
        <v>57</v>
      </c>
      <c r="I18" s="11" t="s">
        <v>3</v>
      </c>
      <c r="J18" s="11" t="s">
        <v>58</v>
      </c>
      <c r="K18" s="11" t="s">
        <v>53</v>
      </c>
      <c r="R18" s="58"/>
      <c r="S18" s="58"/>
    </row>
    <row r="19" spans="1:25" x14ac:dyDescent="0.25">
      <c r="A19" s="3"/>
      <c r="F19">
        <v>2022</v>
      </c>
      <c r="G19" s="30">
        <v>673.25</v>
      </c>
      <c r="H19" s="30">
        <v>75</v>
      </c>
      <c r="I19" s="30">
        <v>69.166666666666671</v>
      </c>
      <c r="J19" s="30">
        <v>12</v>
      </c>
      <c r="K19" s="30">
        <v>3</v>
      </c>
      <c r="R19" s="58"/>
      <c r="S19" s="58"/>
    </row>
    <row r="20" spans="1:25" x14ac:dyDescent="0.25">
      <c r="A20" s="3"/>
      <c r="F20">
        <f>F19+1</f>
        <v>2023</v>
      </c>
      <c r="G20" s="30">
        <v>677.91666666666663</v>
      </c>
      <c r="H20" s="30">
        <v>72.583333333333329</v>
      </c>
      <c r="I20" s="30">
        <v>71.083333333333329</v>
      </c>
      <c r="J20" s="30">
        <v>13</v>
      </c>
      <c r="K20" s="30">
        <v>3</v>
      </c>
      <c r="R20" s="58"/>
      <c r="S20" s="58"/>
    </row>
    <row r="21" spans="1:25" x14ac:dyDescent="0.25">
      <c r="A21" s="3"/>
      <c r="F21">
        <f>F20+1</f>
        <v>2024</v>
      </c>
      <c r="G21" s="30">
        <v>677.83333333333337</v>
      </c>
      <c r="H21" s="30">
        <v>74.583333333333329</v>
      </c>
      <c r="I21" s="30">
        <v>68.916666666666671</v>
      </c>
      <c r="J21" s="30">
        <v>14.083333333333334</v>
      </c>
      <c r="K21" s="30">
        <v>7.75</v>
      </c>
      <c r="R21" s="58"/>
      <c r="S21" s="58"/>
    </row>
    <row r="22" spans="1:25" x14ac:dyDescent="0.25">
      <c r="A22" s="3"/>
      <c r="R22" s="58"/>
      <c r="S22" s="58"/>
    </row>
    <row r="23" spans="1:25" ht="15.75" thickBot="1" x14ac:dyDescent="0.3">
      <c r="A23" s="3"/>
      <c r="R23" s="58"/>
      <c r="S23" s="58"/>
    </row>
    <row r="24" spans="1:25" ht="15.75" thickBot="1" x14ac:dyDescent="0.3">
      <c r="F24" s="7"/>
      <c r="G24" s="53" t="s">
        <v>91</v>
      </c>
      <c r="H24" s="54"/>
      <c r="I24" s="54"/>
      <c r="J24" s="54"/>
      <c r="K24" s="54"/>
      <c r="L24" s="50"/>
      <c r="M24" s="50"/>
      <c r="N24" s="51"/>
      <c r="R24" s="75"/>
      <c r="S24" s="27"/>
      <c r="U24" s="49" t="s">
        <v>105</v>
      </c>
      <c r="V24" s="50"/>
      <c r="W24" s="50"/>
      <c r="X24" s="50"/>
      <c r="Y24" s="51"/>
    </row>
    <row r="25" spans="1:25" x14ac:dyDescent="0.25">
      <c r="G25" s="11" t="s">
        <v>2</v>
      </c>
      <c r="H25" s="11" t="s">
        <v>57</v>
      </c>
      <c r="I25" s="11" t="s">
        <v>3</v>
      </c>
      <c r="J25" s="11" t="s">
        <v>58</v>
      </c>
      <c r="K25" s="11" t="s">
        <v>53</v>
      </c>
      <c r="M25" s="11" t="s">
        <v>89</v>
      </c>
      <c r="Q25" s="3"/>
      <c r="R25" s="76" t="s">
        <v>92</v>
      </c>
      <c r="S25" s="77" t="s">
        <v>104</v>
      </c>
      <c r="U25" s="11" t="s">
        <v>2</v>
      </c>
      <c r="V25" s="11" t="s">
        <v>57</v>
      </c>
      <c r="W25" s="11" t="s">
        <v>3</v>
      </c>
      <c r="X25" s="11" t="s">
        <v>58</v>
      </c>
      <c r="Y25" s="11" t="s">
        <v>53</v>
      </c>
    </row>
    <row r="26" spans="1:25" ht="15.75" thickBot="1" x14ac:dyDescent="0.3">
      <c r="G26" t="s">
        <v>62</v>
      </c>
      <c r="H26" t="s">
        <v>62</v>
      </c>
      <c r="I26" t="s">
        <v>63</v>
      </c>
      <c r="M26" t="s">
        <v>62</v>
      </c>
      <c r="R26" s="78" t="s">
        <v>16</v>
      </c>
      <c r="S26" s="79" t="s">
        <v>75</v>
      </c>
      <c r="U26" t="s">
        <v>62</v>
      </c>
      <c r="V26" t="s">
        <v>62</v>
      </c>
      <c r="W26" t="s">
        <v>63</v>
      </c>
    </row>
    <row r="28" spans="1:25" x14ac:dyDescent="0.25">
      <c r="F28">
        <v>2015</v>
      </c>
      <c r="P28">
        <v>1</v>
      </c>
      <c r="Q28">
        <v>2015</v>
      </c>
      <c r="R28" s="58">
        <v>4267.3</v>
      </c>
      <c r="S28" s="58">
        <f>R42</f>
        <v>4084.57</v>
      </c>
    </row>
    <row r="29" spans="1:25" x14ac:dyDescent="0.25">
      <c r="F29">
        <f t="shared" ref="F29:F35" si="2">F28+1</f>
        <v>2016</v>
      </c>
      <c r="P29">
        <f t="shared" ref="P29:P37" si="3">P28+1</f>
        <v>2</v>
      </c>
      <c r="Q29">
        <f t="shared" ref="Q29:Q37" si="4">Q28+1</f>
        <v>2016</v>
      </c>
      <c r="R29" s="58">
        <v>3777.8000000000006</v>
      </c>
      <c r="S29" s="58">
        <f t="shared" ref="S29:S37" si="5">S28+$R$41</f>
        <v>4039.0818181818181</v>
      </c>
    </row>
    <row r="30" spans="1:25" x14ac:dyDescent="0.25">
      <c r="F30">
        <f t="shared" si="2"/>
        <v>2017</v>
      </c>
      <c r="P30">
        <f t="shared" si="3"/>
        <v>3</v>
      </c>
      <c r="Q30">
        <f t="shared" si="4"/>
        <v>2017</v>
      </c>
      <c r="R30" s="58">
        <v>3754.1</v>
      </c>
      <c r="S30" s="58">
        <f t="shared" si="5"/>
        <v>3993.5936363636361</v>
      </c>
    </row>
    <row r="31" spans="1:25" x14ac:dyDescent="0.25">
      <c r="C31" s="7"/>
      <c r="D31" s="7"/>
      <c r="E31" s="7"/>
      <c r="F31">
        <f t="shared" si="2"/>
        <v>2018</v>
      </c>
      <c r="G31" s="7"/>
      <c r="H31" s="7"/>
      <c r="I31" s="7"/>
      <c r="J31" s="7"/>
      <c r="K31" s="7"/>
      <c r="P31">
        <f t="shared" si="3"/>
        <v>4</v>
      </c>
      <c r="Q31">
        <f t="shared" si="4"/>
        <v>2018</v>
      </c>
      <c r="R31" s="58">
        <v>3958.4500000000003</v>
      </c>
      <c r="S31" s="58">
        <f t="shared" si="5"/>
        <v>3948.105454545454</v>
      </c>
    </row>
    <row r="32" spans="1:25" x14ac:dyDescent="0.25">
      <c r="C32" s="7"/>
      <c r="D32" s="7"/>
      <c r="E32" s="7"/>
      <c r="F32">
        <f t="shared" si="2"/>
        <v>2019</v>
      </c>
      <c r="P32">
        <f t="shared" si="3"/>
        <v>5</v>
      </c>
      <c r="Q32">
        <f t="shared" si="4"/>
        <v>2019</v>
      </c>
      <c r="R32" s="58">
        <v>4115.4000000000005</v>
      </c>
      <c r="S32" s="58">
        <f t="shared" si="5"/>
        <v>3902.6172727272719</v>
      </c>
    </row>
    <row r="33" spans="1:25" x14ac:dyDescent="0.25">
      <c r="F33">
        <f t="shared" si="2"/>
        <v>2020</v>
      </c>
      <c r="P33">
        <f t="shared" si="3"/>
        <v>6</v>
      </c>
      <c r="Q33">
        <f t="shared" si="4"/>
        <v>2020</v>
      </c>
      <c r="R33" s="58">
        <v>3737.1999999999994</v>
      </c>
      <c r="S33" s="58">
        <f t="shared" si="5"/>
        <v>3857.1290909090899</v>
      </c>
    </row>
    <row r="34" spans="1:25" x14ac:dyDescent="0.25">
      <c r="B34" s="3"/>
      <c r="C34" s="3"/>
      <c r="D34" s="3"/>
      <c r="E34" s="3"/>
      <c r="F34">
        <f t="shared" si="2"/>
        <v>2021</v>
      </c>
      <c r="P34">
        <f t="shared" si="3"/>
        <v>7</v>
      </c>
      <c r="Q34">
        <f t="shared" si="4"/>
        <v>2021</v>
      </c>
      <c r="R34" s="58">
        <v>3668.7000000000003</v>
      </c>
      <c r="S34" s="58">
        <f t="shared" si="5"/>
        <v>3811.6409090909078</v>
      </c>
    </row>
    <row r="35" spans="1:25" x14ac:dyDescent="0.25">
      <c r="B35" s="44"/>
      <c r="C35" s="10"/>
      <c r="D35" s="10"/>
      <c r="E35" s="10"/>
      <c r="F35">
        <f t="shared" si="2"/>
        <v>2022</v>
      </c>
      <c r="G35" s="10">
        <f>SUM(G48:G58)+(G47+G59)/2</f>
        <v>7064176</v>
      </c>
      <c r="H35" s="10">
        <f>SUM(H48:H58)+(H47+H59)/2</f>
        <v>669409.5</v>
      </c>
      <c r="I35" s="10">
        <f>SUM(I47:I58)</f>
        <v>4899949</v>
      </c>
      <c r="J35" s="10">
        <f t="shared" ref="J35:K35" si="6">SUM(J48:J58)+(J47+J59)/2</f>
        <v>167146</v>
      </c>
      <c r="K35" s="10">
        <f t="shared" si="6"/>
        <v>32010</v>
      </c>
      <c r="M35" s="10">
        <f>SUM(M48:M58)+(M47+M59)/2</f>
        <v>7263332</v>
      </c>
      <c r="P35">
        <f t="shared" si="3"/>
        <v>8</v>
      </c>
      <c r="Q35">
        <f t="shared" si="4"/>
        <v>2022</v>
      </c>
      <c r="R35" s="58">
        <v>3678.5</v>
      </c>
      <c r="S35" s="58">
        <f t="shared" si="5"/>
        <v>3766.1527272727258</v>
      </c>
      <c r="U35" s="10">
        <f t="shared" ref="U35:Y37" si="7">G35+($S35-$R35)*U$41*G19</f>
        <v>7161862.0351755535</v>
      </c>
      <c r="V35" s="10">
        <f t="shared" si="7"/>
        <v>674766.16405719379</v>
      </c>
      <c r="W35" s="10">
        <f t="shared" si="7"/>
        <v>4915948.9207408009</v>
      </c>
      <c r="X35" s="10">
        <f t="shared" si="7"/>
        <v>169299.86870229157</v>
      </c>
      <c r="Y35" s="10">
        <f t="shared" si="7"/>
        <v>32486.653621420308</v>
      </c>
    </row>
    <row r="36" spans="1:25" x14ac:dyDescent="0.25">
      <c r="B36" s="44"/>
      <c r="C36" s="10"/>
      <c r="D36" s="10"/>
      <c r="E36" s="10"/>
      <c r="F36">
        <f>F35+1</f>
        <v>2023</v>
      </c>
      <c r="G36" s="10">
        <f>SUM(G60:G70)+(G59+G71)/2</f>
        <v>7400012.5</v>
      </c>
      <c r="H36" s="10">
        <f>SUM(H60:H70)+(H59+H71)/2</f>
        <v>579655.5</v>
      </c>
      <c r="I36" s="10">
        <f>SUM(I59:I70)</f>
        <v>5348301</v>
      </c>
      <c r="J36" s="10">
        <f t="shared" ref="J36:K36" si="8">SUM(J60:J70)+(J59+J71)/2</f>
        <v>184242</v>
      </c>
      <c r="K36" s="10">
        <f t="shared" si="8"/>
        <v>30651</v>
      </c>
      <c r="M36" s="10">
        <f>SUM(M60:M70)+(M59+M71)/2</f>
        <v>7614905.5</v>
      </c>
      <c r="P36">
        <f t="shared" si="3"/>
        <v>9</v>
      </c>
      <c r="Q36">
        <f t="shared" si="4"/>
        <v>2023</v>
      </c>
      <c r="R36" s="58">
        <v>3753.7</v>
      </c>
      <c r="S36" s="58">
        <f t="shared" si="5"/>
        <v>3720.6645454545437</v>
      </c>
      <c r="U36" s="10">
        <f t="shared" si="7"/>
        <v>7362940.391672723</v>
      </c>
      <c r="V36" s="10">
        <f t="shared" si="7"/>
        <v>577701.67838742782</v>
      </c>
      <c r="W36" s="10">
        <f t="shared" si="7"/>
        <v>5342103.6842562091</v>
      </c>
      <c r="X36" s="10">
        <f t="shared" si="7"/>
        <v>183362.58031000133</v>
      </c>
      <c r="Y36" s="10">
        <f t="shared" si="7"/>
        <v>30471.353917849428</v>
      </c>
    </row>
    <row r="37" spans="1:25" x14ac:dyDescent="0.25">
      <c r="C37" s="10"/>
      <c r="D37" s="10"/>
      <c r="E37" s="10"/>
      <c r="F37">
        <f>F36+1</f>
        <v>2024</v>
      </c>
      <c r="G37" s="10">
        <f>SUM(G72:G82)+(G71+G83)/2</f>
        <v>7426057.5</v>
      </c>
      <c r="H37" s="10">
        <f>SUM(H72:H82)+(H71+H83)/2</f>
        <v>634619.5</v>
      </c>
      <c r="I37" s="10">
        <f>SUM(I71:I82)</f>
        <v>6202145</v>
      </c>
      <c r="J37" s="10">
        <f t="shared" ref="J37:K37" si="9">SUM(J72:J82)+(J71+J83)/2</f>
        <v>169332</v>
      </c>
      <c r="K37" s="10">
        <f t="shared" si="9"/>
        <v>46800</v>
      </c>
      <c r="L37" s="9"/>
      <c r="M37" s="10">
        <f>SUM(M72:M82)+(M71+M83)/2</f>
        <v>7642189.5</v>
      </c>
      <c r="P37">
        <f t="shared" si="3"/>
        <v>10</v>
      </c>
      <c r="Q37">
        <f t="shared" si="4"/>
        <v>2024</v>
      </c>
      <c r="R37" s="58">
        <v>3632.7</v>
      </c>
      <c r="S37" s="58">
        <f t="shared" si="5"/>
        <v>3675.1763636363617</v>
      </c>
      <c r="U37" s="10">
        <f t="shared" si="7"/>
        <v>7473718.2573948037</v>
      </c>
      <c r="V37" s="10">
        <f t="shared" si="7"/>
        <v>637200.90907772456</v>
      </c>
      <c r="W37" s="10">
        <f t="shared" si="7"/>
        <v>6209870.509751657</v>
      </c>
      <c r="X37" s="10">
        <f t="shared" si="7"/>
        <v>170556.96966698184</v>
      </c>
      <c r="Y37" s="10">
        <f t="shared" si="7"/>
        <v>47396.712645308704</v>
      </c>
    </row>
    <row r="38" spans="1:25" x14ac:dyDescent="0.25">
      <c r="C38" s="10"/>
      <c r="D38" s="10"/>
      <c r="E38" s="10"/>
      <c r="I38" s="10"/>
      <c r="K38" s="10"/>
      <c r="L38" s="9"/>
      <c r="M38" s="9"/>
      <c r="Q38" s="44" t="s">
        <v>93</v>
      </c>
      <c r="R38" s="58">
        <f>AVERAGE(R28:R37)</f>
        <v>3834.3849999999998</v>
      </c>
      <c r="S38" s="58">
        <f>AVERAGE(S28:S37)</f>
        <v>3879.8731818181814</v>
      </c>
    </row>
    <row r="39" spans="1:25" x14ac:dyDescent="0.25">
      <c r="C39" s="10"/>
      <c r="D39" s="10"/>
      <c r="E39" s="10"/>
      <c r="I39" s="10"/>
      <c r="K39" s="10"/>
      <c r="L39" s="9"/>
    </row>
    <row r="40" spans="1:25" x14ac:dyDescent="0.25">
      <c r="D40" s="10"/>
      <c r="E40" s="10"/>
      <c r="P40" s="55"/>
      <c r="Q40" s="56"/>
      <c r="R40" s="59" t="s">
        <v>96</v>
      </c>
      <c r="S40" s="56"/>
      <c r="T40" s="56"/>
      <c r="U40" s="56" t="s">
        <v>143</v>
      </c>
      <c r="V40" s="56"/>
      <c r="W40" s="56"/>
      <c r="X40" s="56"/>
      <c r="Y40" s="80"/>
    </row>
    <row r="41" spans="1:25" x14ac:dyDescent="0.25">
      <c r="P41" s="60" t="s">
        <v>94</v>
      </c>
      <c r="R41" s="81">
        <f>LINEST(R28:R37,Q28:Q37,R42)</f>
        <v>-45.488181818181872</v>
      </c>
      <c r="U41" s="82">
        <v>1.6553532563241993</v>
      </c>
      <c r="V41" s="82">
        <v>0.81483131958945754</v>
      </c>
      <c r="W41" s="82">
        <v>2.6390982059113979</v>
      </c>
      <c r="X41" s="82">
        <v>2.047729307564258</v>
      </c>
      <c r="Y41" s="83">
        <v>1.8126594050984499</v>
      </c>
    </row>
    <row r="42" spans="1:25" x14ac:dyDescent="0.25">
      <c r="A42" s="3" t="s">
        <v>101</v>
      </c>
      <c r="B42" s="45"/>
      <c r="C42" s="46"/>
      <c r="D42" s="46"/>
      <c r="P42" s="57" t="s">
        <v>95</v>
      </c>
      <c r="Q42" s="21"/>
      <c r="R42" s="61">
        <f>INTERCEPT(R28:R37,P28:P37)</f>
        <v>4084.57</v>
      </c>
      <c r="S42" s="21"/>
      <c r="T42" s="21"/>
      <c r="U42" s="21"/>
      <c r="V42" s="21"/>
      <c r="W42" s="21"/>
      <c r="X42" s="21"/>
      <c r="Y42" s="84"/>
    </row>
    <row r="43" spans="1:25" ht="15.75" thickBot="1" x14ac:dyDescent="0.3"/>
    <row r="44" spans="1:25" ht="15.75" thickBot="1" x14ac:dyDescent="0.3">
      <c r="C44" s="49" t="s">
        <v>88</v>
      </c>
      <c r="D44" s="50"/>
      <c r="E44" s="51"/>
      <c r="G44" s="49" t="s">
        <v>90</v>
      </c>
      <c r="H44" s="50"/>
      <c r="I44" s="50"/>
      <c r="J44" s="50"/>
      <c r="K44" s="50"/>
      <c r="L44" s="50"/>
      <c r="M44" s="50"/>
      <c r="N44" s="51"/>
      <c r="Q44" s="49" t="s">
        <v>102</v>
      </c>
      <c r="R44" s="50"/>
      <c r="S44" s="50"/>
      <c r="T44" s="51"/>
    </row>
    <row r="45" spans="1:25" x14ac:dyDescent="0.25">
      <c r="B45" s="11" t="s">
        <v>107</v>
      </c>
      <c r="C45" s="41" t="s">
        <v>2</v>
      </c>
      <c r="D45" s="41" t="s">
        <v>28</v>
      </c>
      <c r="E45" s="41" t="s">
        <v>3</v>
      </c>
      <c r="F45" s="73" t="s">
        <v>99</v>
      </c>
      <c r="G45" s="11" t="s">
        <v>2</v>
      </c>
      <c r="H45" s="11" t="s">
        <v>57</v>
      </c>
      <c r="I45" s="11" t="s">
        <v>3</v>
      </c>
      <c r="J45" s="11" t="s">
        <v>58</v>
      </c>
      <c r="K45" s="11" t="s">
        <v>53</v>
      </c>
      <c r="M45" s="11" t="s">
        <v>89</v>
      </c>
      <c r="S45" s="11"/>
      <c r="W45" s="3"/>
    </row>
    <row r="46" spans="1:25" x14ac:dyDescent="0.25">
      <c r="C46" t="s">
        <v>87</v>
      </c>
      <c r="G46" t="s">
        <v>62</v>
      </c>
      <c r="H46" t="s">
        <v>62</v>
      </c>
      <c r="I46" t="s">
        <v>63</v>
      </c>
      <c r="M46" t="s">
        <v>62</v>
      </c>
      <c r="Q46" t="s">
        <v>106</v>
      </c>
      <c r="R46" t="s">
        <v>76</v>
      </c>
      <c r="S46" t="s">
        <v>64</v>
      </c>
      <c r="T46" t="s">
        <v>3</v>
      </c>
    </row>
    <row r="47" spans="1:25" x14ac:dyDescent="0.25">
      <c r="B47" s="43">
        <v>44562</v>
      </c>
      <c r="G47" s="10">
        <v>803237</v>
      </c>
      <c r="H47" s="10">
        <v>36738</v>
      </c>
      <c r="I47" s="10">
        <v>466883</v>
      </c>
      <c r="J47" s="10">
        <v>29855</v>
      </c>
      <c r="K47" s="10">
        <v>5210</v>
      </c>
      <c r="M47" s="10">
        <f t="shared" ref="M47:M83" si="10">G47+J47+K47</f>
        <v>838302</v>
      </c>
      <c r="S47" s="43"/>
      <c r="T47" s="10"/>
      <c r="U47" s="10"/>
      <c r="V47" s="10"/>
    </row>
    <row r="48" spans="1:25" x14ac:dyDescent="0.25">
      <c r="B48" s="43">
        <v>44593</v>
      </c>
      <c r="G48" s="10">
        <v>988689</v>
      </c>
      <c r="H48" s="10">
        <v>124514</v>
      </c>
      <c r="I48" s="10">
        <v>498145</v>
      </c>
      <c r="J48" s="10">
        <v>22865</v>
      </c>
      <c r="K48" s="10">
        <v>1818</v>
      </c>
      <c r="M48" s="10">
        <f t="shared" si="10"/>
        <v>1013372</v>
      </c>
      <c r="S48" s="43"/>
      <c r="T48" s="10"/>
      <c r="U48" s="10"/>
      <c r="V48" s="10"/>
    </row>
    <row r="49" spans="2:25" x14ac:dyDescent="0.25">
      <c r="B49" s="43">
        <v>44621</v>
      </c>
      <c r="G49" s="10">
        <v>791649</v>
      </c>
      <c r="H49" s="10">
        <v>36870</v>
      </c>
      <c r="I49" s="10">
        <v>462555</v>
      </c>
      <c r="J49" s="10">
        <v>18593</v>
      </c>
      <c r="K49" s="10">
        <v>3761</v>
      </c>
      <c r="M49" s="10">
        <f t="shared" si="10"/>
        <v>814003</v>
      </c>
      <c r="S49" s="43"/>
      <c r="T49" s="10"/>
      <c r="U49" s="10"/>
      <c r="V49" s="10"/>
    </row>
    <row r="50" spans="2:25" x14ac:dyDescent="0.25">
      <c r="B50" s="43">
        <v>44652</v>
      </c>
      <c r="G50" s="10">
        <v>737130</v>
      </c>
      <c r="H50" s="10">
        <v>107018</v>
      </c>
      <c r="I50" s="10">
        <v>407432</v>
      </c>
      <c r="J50" s="10">
        <v>13762</v>
      </c>
      <c r="K50" s="10">
        <v>2313</v>
      </c>
      <c r="M50" s="10">
        <f t="shared" si="10"/>
        <v>753205</v>
      </c>
      <c r="S50" s="43"/>
      <c r="T50" s="10"/>
      <c r="U50" s="10"/>
      <c r="V50" s="10"/>
    </row>
    <row r="51" spans="2:25" x14ac:dyDescent="0.25">
      <c r="B51" s="43">
        <v>44682</v>
      </c>
      <c r="G51" s="10">
        <v>510496</v>
      </c>
      <c r="H51" s="10">
        <v>15659</v>
      </c>
      <c r="I51" s="10">
        <v>401443</v>
      </c>
      <c r="J51" s="10">
        <v>9000</v>
      </c>
      <c r="K51" s="10">
        <v>1473</v>
      </c>
      <c r="M51" s="10">
        <f t="shared" si="10"/>
        <v>520969</v>
      </c>
      <c r="S51" s="43"/>
      <c r="T51" s="10"/>
      <c r="U51" s="10"/>
      <c r="V51" s="10"/>
    </row>
    <row r="52" spans="2:25" x14ac:dyDescent="0.25">
      <c r="B52" s="43">
        <v>44713</v>
      </c>
      <c r="G52" s="10">
        <v>457520</v>
      </c>
      <c r="H52" s="10">
        <v>73259</v>
      </c>
      <c r="I52" s="10">
        <v>353716</v>
      </c>
      <c r="J52" s="10">
        <v>6809</v>
      </c>
      <c r="K52" s="10">
        <v>1370</v>
      </c>
      <c r="M52" s="10">
        <f t="shared" si="10"/>
        <v>465699</v>
      </c>
      <c r="S52" s="43"/>
      <c r="T52" s="10"/>
      <c r="U52" s="10"/>
      <c r="V52" s="10"/>
    </row>
    <row r="53" spans="2:25" x14ac:dyDescent="0.25">
      <c r="B53" s="43">
        <v>44743</v>
      </c>
      <c r="G53" s="10">
        <v>335618</v>
      </c>
      <c r="H53" s="10">
        <v>18023</v>
      </c>
      <c r="I53" s="10">
        <v>336656</v>
      </c>
      <c r="J53" s="10">
        <v>8217</v>
      </c>
      <c r="K53" s="10">
        <v>1196</v>
      </c>
      <c r="M53" s="10">
        <f t="shared" si="10"/>
        <v>345031</v>
      </c>
      <c r="S53" s="43"/>
      <c r="T53" s="10"/>
      <c r="U53" s="10"/>
      <c r="V53" s="10"/>
    </row>
    <row r="54" spans="2:25" x14ac:dyDescent="0.25">
      <c r="B54" s="43">
        <v>44774</v>
      </c>
      <c r="G54" s="10">
        <v>447310</v>
      </c>
      <c r="H54" s="10">
        <v>75129</v>
      </c>
      <c r="I54" s="10">
        <v>447470</v>
      </c>
      <c r="J54" s="10">
        <v>8319</v>
      </c>
      <c r="K54" s="10">
        <v>2440</v>
      </c>
      <c r="M54" s="10">
        <f t="shared" si="10"/>
        <v>458069</v>
      </c>
      <c r="S54" s="43"/>
      <c r="T54" s="10"/>
      <c r="U54" s="10"/>
      <c r="V54" s="10"/>
    </row>
    <row r="55" spans="2:25" x14ac:dyDescent="0.25">
      <c r="B55" s="43">
        <v>44805</v>
      </c>
      <c r="G55" s="10">
        <v>370894</v>
      </c>
      <c r="H55" s="10">
        <v>17692</v>
      </c>
      <c r="I55" s="10">
        <v>293277</v>
      </c>
      <c r="J55" s="10">
        <v>6844</v>
      </c>
      <c r="K55" s="10">
        <v>1452</v>
      </c>
      <c r="M55" s="10">
        <f t="shared" si="10"/>
        <v>379190</v>
      </c>
      <c r="S55" s="43"/>
      <c r="T55" s="10"/>
      <c r="U55" s="10"/>
      <c r="V55" s="10"/>
    </row>
    <row r="56" spans="2:25" x14ac:dyDescent="0.25">
      <c r="B56" s="43">
        <v>44835</v>
      </c>
      <c r="G56" s="10">
        <v>420824</v>
      </c>
      <c r="H56" s="10">
        <v>69019</v>
      </c>
      <c r="I56" s="10">
        <v>356705</v>
      </c>
      <c r="J56" s="10">
        <v>8605</v>
      </c>
      <c r="K56" s="10">
        <v>2353</v>
      </c>
      <c r="M56" s="10">
        <f t="shared" si="10"/>
        <v>431782</v>
      </c>
      <c r="S56" s="43"/>
      <c r="T56" s="10"/>
      <c r="U56" s="10"/>
      <c r="V56" s="10"/>
    </row>
    <row r="57" spans="2:25" x14ac:dyDescent="0.25">
      <c r="B57" s="43">
        <v>44866</v>
      </c>
      <c r="G57" s="10">
        <v>508098</v>
      </c>
      <c r="H57" s="10">
        <v>14500</v>
      </c>
      <c r="I57" s="10">
        <v>419509</v>
      </c>
      <c r="J57" s="10">
        <v>16719</v>
      </c>
      <c r="K57" s="10">
        <v>3366</v>
      </c>
      <c r="M57" s="10">
        <f t="shared" si="10"/>
        <v>528183</v>
      </c>
      <c r="S57" s="43"/>
      <c r="T57" s="10"/>
      <c r="U57" s="10"/>
      <c r="V57" s="10"/>
    </row>
    <row r="58" spans="2:25" x14ac:dyDescent="0.25">
      <c r="B58" s="43">
        <v>44896</v>
      </c>
      <c r="G58" s="10">
        <v>713222</v>
      </c>
      <c r="H58" s="10">
        <v>94348</v>
      </c>
      <c r="I58" s="10">
        <v>456158</v>
      </c>
      <c r="J58" s="10">
        <v>20808</v>
      </c>
      <c r="K58" s="10">
        <v>4756</v>
      </c>
      <c r="M58" s="10">
        <f t="shared" si="10"/>
        <v>738786</v>
      </c>
      <c r="S58" s="43"/>
      <c r="T58" s="10"/>
      <c r="U58" s="10"/>
      <c r="V58" s="10"/>
    </row>
    <row r="59" spans="2:25" x14ac:dyDescent="0.25">
      <c r="B59" s="43">
        <v>44927</v>
      </c>
      <c r="G59" s="10">
        <v>762215</v>
      </c>
      <c r="H59" s="10">
        <v>10019</v>
      </c>
      <c r="I59" s="10">
        <v>500611</v>
      </c>
      <c r="J59" s="10">
        <v>23355</v>
      </c>
      <c r="K59" s="10">
        <v>6214</v>
      </c>
      <c r="M59" s="10">
        <f t="shared" si="10"/>
        <v>791784</v>
      </c>
      <c r="P59" s="10"/>
      <c r="Q59">
        <f t="shared" ref="Q59:Q83" si="11">MONTH(B58)</f>
        <v>12</v>
      </c>
      <c r="R59" s="10">
        <f>M59/2</f>
        <v>395892</v>
      </c>
      <c r="S59" s="10">
        <f>H59/2</f>
        <v>5009.5</v>
      </c>
      <c r="T59" s="10">
        <f t="shared" ref="T59:T82" si="12">I59</f>
        <v>500611</v>
      </c>
      <c r="U59" s="10"/>
      <c r="V59" s="10"/>
      <c r="W59" s="9"/>
      <c r="X59" s="9"/>
      <c r="Y59" s="9"/>
    </row>
    <row r="60" spans="2:25" x14ac:dyDescent="0.25">
      <c r="B60" s="43">
        <v>44958</v>
      </c>
      <c r="G60" s="10">
        <v>940406</v>
      </c>
      <c r="H60" s="10">
        <v>123097</v>
      </c>
      <c r="I60" s="10">
        <v>571197</v>
      </c>
      <c r="J60" s="10">
        <v>29766</v>
      </c>
      <c r="K60" s="10">
        <v>4698</v>
      </c>
      <c r="M60" s="10">
        <f t="shared" si="10"/>
        <v>974870</v>
      </c>
      <c r="P60" s="10"/>
      <c r="Q60">
        <f t="shared" si="11"/>
        <v>1</v>
      </c>
      <c r="R60" s="10">
        <f t="shared" ref="R60:R82" si="13">M60</f>
        <v>974870</v>
      </c>
      <c r="S60" s="10">
        <f t="shared" ref="S60:S82" si="14">H60</f>
        <v>123097</v>
      </c>
      <c r="T60" s="10">
        <f t="shared" si="12"/>
        <v>571197</v>
      </c>
      <c r="U60" s="10"/>
      <c r="V60" s="10"/>
      <c r="W60" s="9"/>
      <c r="X60" s="9"/>
      <c r="Y60" s="9"/>
    </row>
    <row r="61" spans="2:25" x14ac:dyDescent="0.25">
      <c r="B61" s="43">
        <v>44986</v>
      </c>
      <c r="G61" s="10">
        <v>819522</v>
      </c>
      <c r="H61" s="10">
        <v>9553</v>
      </c>
      <c r="I61" s="10">
        <v>373815</v>
      </c>
      <c r="J61" s="10">
        <v>16179</v>
      </c>
      <c r="K61" s="10">
        <v>2885</v>
      </c>
      <c r="M61" s="10">
        <f t="shared" si="10"/>
        <v>838586</v>
      </c>
      <c r="P61" s="10"/>
      <c r="Q61">
        <f t="shared" si="11"/>
        <v>2</v>
      </c>
      <c r="R61" s="10">
        <f t="shared" si="13"/>
        <v>838586</v>
      </c>
      <c r="S61" s="10">
        <f t="shared" si="14"/>
        <v>9553</v>
      </c>
      <c r="T61" s="10">
        <f t="shared" si="12"/>
        <v>373815</v>
      </c>
      <c r="U61" s="10"/>
      <c r="V61" s="10"/>
      <c r="W61" s="9"/>
      <c r="X61" s="9"/>
      <c r="Y61" s="9"/>
    </row>
    <row r="62" spans="2:25" x14ac:dyDescent="0.25">
      <c r="B62" s="48">
        <v>45017</v>
      </c>
      <c r="C62">
        <v>362</v>
      </c>
      <c r="D62">
        <v>62</v>
      </c>
      <c r="E62">
        <v>71</v>
      </c>
      <c r="F62" s="73">
        <v>0</v>
      </c>
      <c r="G62" s="10">
        <v>723191</v>
      </c>
      <c r="H62" s="47">
        <v>86222</v>
      </c>
      <c r="I62" s="47">
        <v>397076</v>
      </c>
      <c r="J62" s="10">
        <v>13188</v>
      </c>
      <c r="K62" s="10">
        <v>1313</v>
      </c>
      <c r="M62" s="47">
        <f t="shared" si="10"/>
        <v>737692</v>
      </c>
      <c r="P62" s="10"/>
      <c r="Q62">
        <f t="shared" si="11"/>
        <v>3</v>
      </c>
      <c r="R62" s="10">
        <f t="shared" si="13"/>
        <v>737692</v>
      </c>
      <c r="S62" s="10">
        <f t="shared" si="14"/>
        <v>86222</v>
      </c>
      <c r="T62" s="10">
        <f t="shared" si="12"/>
        <v>397076</v>
      </c>
      <c r="U62" s="10"/>
      <c r="V62" s="10"/>
      <c r="W62" s="9"/>
      <c r="X62" s="9"/>
      <c r="Y62" s="9"/>
    </row>
    <row r="63" spans="2:25" x14ac:dyDescent="0.25">
      <c r="B63" s="48">
        <v>45047</v>
      </c>
      <c r="C63">
        <v>345</v>
      </c>
      <c r="D63">
        <v>11</v>
      </c>
      <c r="E63">
        <v>71</v>
      </c>
      <c r="F63" s="73">
        <f>F62+1</f>
        <v>1</v>
      </c>
      <c r="G63" s="10">
        <v>536117</v>
      </c>
      <c r="H63" s="47">
        <v>9290</v>
      </c>
      <c r="I63" s="47">
        <v>406683</v>
      </c>
      <c r="J63" s="10">
        <v>11744</v>
      </c>
      <c r="K63" s="10">
        <v>431</v>
      </c>
      <c r="M63" s="47">
        <f t="shared" si="10"/>
        <v>548292</v>
      </c>
      <c r="P63" s="10"/>
      <c r="Q63">
        <f t="shared" si="11"/>
        <v>4</v>
      </c>
      <c r="R63" s="10">
        <f t="shared" si="13"/>
        <v>548292</v>
      </c>
      <c r="S63" s="10">
        <f t="shared" si="14"/>
        <v>9290</v>
      </c>
      <c r="T63" s="10">
        <f t="shared" si="12"/>
        <v>406683</v>
      </c>
      <c r="U63" s="10"/>
      <c r="V63" s="10"/>
      <c r="W63" s="9"/>
      <c r="X63" s="9"/>
      <c r="Y63" s="9"/>
    </row>
    <row r="64" spans="2:25" x14ac:dyDescent="0.25">
      <c r="B64" s="48">
        <v>45078</v>
      </c>
      <c r="C64">
        <v>366</v>
      </c>
      <c r="D64">
        <v>61</v>
      </c>
      <c r="E64">
        <v>71</v>
      </c>
      <c r="F64" s="73">
        <f t="shared" ref="F64:F83" si="15">F63+1</f>
        <v>2</v>
      </c>
      <c r="G64" s="10">
        <v>481471</v>
      </c>
      <c r="H64" s="47">
        <v>66920</v>
      </c>
      <c r="I64" s="47">
        <v>389848</v>
      </c>
      <c r="J64" s="10">
        <v>9391</v>
      </c>
      <c r="K64" s="10">
        <v>401</v>
      </c>
      <c r="M64" s="47">
        <f t="shared" si="10"/>
        <v>491263</v>
      </c>
      <c r="P64" s="10"/>
      <c r="Q64">
        <f t="shared" si="11"/>
        <v>5</v>
      </c>
      <c r="R64" s="10">
        <f t="shared" si="13"/>
        <v>491263</v>
      </c>
      <c r="S64" s="10">
        <f t="shared" si="14"/>
        <v>66920</v>
      </c>
      <c r="T64" s="10">
        <f t="shared" si="12"/>
        <v>389848</v>
      </c>
      <c r="U64" s="10"/>
      <c r="V64" s="10"/>
      <c r="W64" s="9"/>
      <c r="X64" s="9"/>
      <c r="Y64" s="9"/>
    </row>
    <row r="65" spans="2:25" x14ac:dyDescent="0.25">
      <c r="B65" s="48">
        <v>45108</v>
      </c>
      <c r="C65">
        <v>345</v>
      </c>
      <c r="D65">
        <v>11</v>
      </c>
      <c r="E65">
        <v>71</v>
      </c>
      <c r="F65" s="73">
        <f t="shared" si="15"/>
        <v>3</v>
      </c>
      <c r="G65" s="10">
        <v>397012</v>
      </c>
      <c r="H65" s="47">
        <v>13336</v>
      </c>
      <c r="I65" s="47">
        <v>436437</v>
      </c>
      <c r="J65" s="10">
        <v>9486</v>
      </c>
      <c r="K65" s="10">
        <v>757</v>
      </c>
      <c r="M65" s="47">
        <f t="shared" si="10"/>
        <v>407255</v>
      </c>
      <c r="P65" s="10"/>
      <c r="Q65">
        <f t="shared" si="11"/>
        <v>6</v>
      </c>
      <c r="R65" s="10">
        <f t="shared" si="13"/>
        <v>407255</v>
      </c>
      <c r="S65" s="10">
        <f t="shared" si="14"/>
        <v>13336</v>
      </c>
      <c r="T65" s="10">
        <f t="shared" si="12"/>
        <v>436437</v>
      </c>
      <c r="U65" s="10"/>
      <c r="V65" s="10"/>
      <c r="W65" s="9"/>
      <c r="X65" s="9"/>
      <c r="Y65" s="9"/>
    </row>
    <row r="66" spans="2:25" x14ac:dyDescent="0.25">
      <c r="B66" s="48">
        <v>45139</v>
      </c>
      <c r="C66">
        <v>367</v>
      </c>
      <c r="D66">
        <v>61</v>
      </c>
      <c r="E66">
        <v>72</v>
      </c>
      <c r="F66" s="73">
        <f t="shared" si="15"/>
        <v>4</v>
      </c>
      <c r="G66" s="10">
        <v>474791</v>
      </c>
      <c r="H66" s="47">
        <v>73670</v>
      </c>
      <c r="I66" s="47">
        <v>388753</v>
      </c>
      <c r="J66" s="10">
        <v>6756</v>
      </c>
      <c r="K66" s="10">
        <v>635</v>
      </c>
      <c r="M66" s="47">
        <f t="shared" si="10"/>
        <v>482182</v>
      </c>
      <c r="P66" s="10"/>
      <c r="Q66">
        <f t="shared" si="11"/>
        <v>7</v>
      </c>
      <c r="R66" s="10">
        <f t="shared" si="13"/>
        <v>482182</v>
      </c>
      <c r="S66" s="10">
        <f t="shared" si="14"/>
        <v>73670</v>
      </c>
      <c r="T66" s="10">
        <f t="shared" si="12"/>
        <v>388753</v>
      </c>
      <c r="U66" s="10"/>
      <c r="V66" s="10"/>
      <c r="W66" s="9"/>
      <c r="X66" s="9"/>
      <c r="Y66" s="9"/>
    </row>
    <row r="67" spans="2:25" x14ac:dyDescent="0.25">
      <c r="B67" s="48">
        <v>45170</v>
      </c>
      <c r="C67">
        <v>352</v>
      </c>
      <c r="D67">
        <v>13</v>
      </c>
      <c r="E67">
        <v>72</v>
      </c>
      <c r="F67" s="73">
        <f t="shared" si="15"/>
        <v>5</v>
      </c>
      <c r="G67" s="10">
        <v>374018</v>
      </c>
      <c r="H67" s="47">
        <v>12282</v>
      </c>
      <c r="I67" s="47">
        <v>369502</v>
      </c>
      <c r="J67" s="10">
        <v>6950</v>
      </c>
      <c r="K67" s="10">
        <v>881</v>
      </c>
      <c r="M67" s="47">
        <f t="shared" si="10"/>
        <v>381849</v>
      </c>
      <c r="P67" s="10"/>
      <c r="Q67">
        <f t="shared" si="11"/>
        <v>8</v>
      </c>
      <c r="R67" s="10">
        <f t="shared" si="13"/>
        <v>381849</v>
      </c>
      <c r="S67" s="10">
        <f t="shared" si="14"/>
        <v>12282</v>
      </c>
      <c r="T67" s="10">
        <f t="shared" si="12"/>
        <v>369502</v>
      </c>
      <c r="U67" s="10"/>
      <c r="V67" s="10"/>
      <c r="W67" s="9"/>
      <c r="X67" s="9"/>
      <c r="Y67" s="9"/>
    </row>
    <row r="68" spans="2:25" x14ac:dyDescent="0.25">
      <c r="B68" s="48">
        <v>45200</v>
      </c>
      <c r="C68">
        <v>367</v>
      </c>
      <c r="D68">
        <v>61</v>
      </c>
      <c r="E68">
        <v>72</v>
      </c>
      <c r="F68" s="73">
        <f t="shared" si="15"/>
        <v>6</v>
      </c>
      <c r="G68" s="10">
        <v>436835</v>
      </c>
      <c r="H68" s="47">
        <v>63116</v>
      </c>
      <c r="I68" s="47">
        <v>448828</v>
      </c>
      <c r="J68" s="10">
        <v>10569</v>
      </c>
      <c r="K68" s="10">
        <v>1682</v>
      </c>
      <c r="M68" s="47">
        <f t="shared" si="10"/>
        <v>449086</v>
      </c>
      <c r="P68" s="10"/>
      <c r="Q68">
        <f t="shared" si="11"/>
        <v>9</v>
      </c>
      <c r="R68" s="10">
        <f t="shared" si="13"/>
        <v>449086</v>
      </c>
      <c r="S68" s="10">
        <f t="shared" si="14"/>
        <v>63116</v>
      </c>
      <c r="T68" s="10">
        <f t="shared" si="12"/>
        <v>448828</v>
      </c>
      <c r="U68" s="10"/>
      <c r="V68" s="10"/>
      <c r="W68" s="9"/>
      <c r="X68" s="9"/>
      <c r="Y68" s="9"/>
    </row>
    <row r="69" spans="2:25" x14ac:dyDescent="0.25">
      <c r="B69" s="48">
        <v>45231</v>
      </c>
      <c r="C69">
        <v>349</v>
      </c>
      <c r="D69">
        <v>11</v>
      </c>
      <c r="E69">
        <v>69</v>
      </c>
      <c r="F69" s="73">
        <f t="shared" si="15"/>
        <v>7</v>
      </c>
      <c r="G69" s="10">
        <v>549381</v>
      </c>
      <c r="H69" s="47">
        <v>10231</v>
      </c>
      <c r="I69" s="47">
        <v>488705</v>
      </c>
      <c r="J69" s="10">
        <v>21810</v>
      </c>
      <c r="K69" s="10">
        <v>2956</v>
      </c>
      <c r="M69" s="47">
        <f t="shared" si="10"/>
        <v>574147</v>
      </c>
      <c r="P69" s="10"/>
      <c r="Q69">
        <f t="shared" si="11"/>
        <v>10</v>
      </c>
      <c r="R69" s="10">
        <f t="shared" si="13"/>
        <v>574147</v>
      </c>
      <c r="S69" s="10">
        <f t="shared" si="14"/>
        <v>10231</v>
      </c>
      <c r="T69" s="10">
        <f t="shared" si="12"/>
        <v>488705</v>
      </c>
      <c r="U69" s="10"/>
      <c r="V69" s="10"/>
      <c r="W69" s="9"/>
      <c r="X69" s="9"/>
      <c r="Y69" s="9"/>
    </row>
    <row r="70" spans="2:25" x14ac:dyDescent="0.25">
      <c r="B70" s="48">
        <v>45261</v>
      </c>
      <c r="C70">
        <v>367</v>
      </c>
      <c r="D70">
        <v>59</v>
      </c>
      <c r="E70">
        <v>69</v>
      </c>
      <c r="F70" s="73">
        <f t="shared" si="15"/>
        <v>8</v>
      </c>
      <c r="G70" s="10">
        <v>814585</v>
      </c>
      <c r="H70" s="47">
        <v>100559</v>
      </c>
      <c r="I70" s="47">
        <v>576846</v>
      </c>
      <c r="J70" s="10">
        <v>20295</v>
      </c>
      <c r="K70" s="10">
        <v>6190</v>
      </c>
      <c r="M70" s="47">
        <f t="shared" si="10"/>
        <v>841070</v>
      </c>
      <c r="P70" s="10"/>
      <c r="Q70">
        <f t="shared" si="11"/>
        <v>11</v>
      </c>
      <c r="R70" s="10">
        <f t="shared" si="13"/>
        <v>841070</v>
      </c>
      <c r="S70" s="10">
        <f t="shared" si="14"/>
        <v>100559</v>
      </c>
      <c r="T70" s="10">
        <f t="shared" si="12"/>
        <v>576846</v>
      </c>
      <c r="U70" s="10"/>
      <c r="V70" s="10"/>
      <c r="W70" s="9"/>
      <c r="X70" s="9"/>
      <c r="Y70" s="9"/>
    </row>
    <row r="71" spans="2:25" x14ac:dyDescent="0.25">
      <c r="B71" s="48">
        <v>45292</v>
      </c>
      <c r="C71">
        <v>349</v>
      </c>
      <c r="D71">
        <v>14</v>
      </c>
      <c r="F71" s="73">
        <f t="shared" si="15"/>
        <v>9</v>
      </c>
      <c r="G71" s="10">
        <v>943152</v>
      </c>
      <c r="H71" s="47">
        <v>12740</v>
      </c>
      <c r="I71" s="10">
        <v>597681</v>
      </c>
      <c r="J71" s="10">
        <v>32861</v>
      </c>
      <c r="K71" s="10">
        <v>9430</v>
      </c>
      <c r="M71" s="47">
        <f t="shared" si="10"/>
        <v>985443</v>
      </c>
      <c r="P71" s="10"/>
      <c r="Q71">
        <f t="shared" si="11"/>
        <v>12</v>
      </c>
      <c r="R71" s="10">
        <f t="shared" si="13"/>
        <v>985443</v>
      </c>
      <c r="S71" s="10">
        <f t="shared" si="14"/>
        <v>12740</v>
      </c>
      <c r="T71" s="10">
        <f t="shared" si="12"/>
        <v>597681</v>
      </c>
      <c r="U71" s="10"/>
      <c r="V71" s="10"/>
      <c r="W71" s="9"/>
      <c r="X71" s="9"/>
      <c r="Y71" s="9"/>
    </row>
    <row r="72" spans="2:25" x14ac:dyDescent="0.25">
      <c r="B72" s="43">
        <v>45323</v>
      </c>
      <c r="F72" s="73">
        <f t="shared" si="15"/>
        <v>10</v>
      </c>
      <c r="G72" s="10">
        <v>1105195</v>
      </c>
      <c r="H72" s="10">
        <v>135704</v>
      </c>
      <c r="I72" s="10">
        <v>560151</v>
      </c>
      <c r="J72" s="10">
        <v>18688</v>
      </c>
      <c r="K72" s="10">
        <v>6618</v>
      </c>
      <c r="M72" s="10">
        <f t="shared" si="10"/>
        <v>1130501</v>
      </c>
      <c r="Q72">
        <f t="shared" si="11"/>
        <v>1</v>
      </c>
      <c r="R72" s="10">
        <f t="shared" si="13"/>
        <v>1130501</v>
      </c>
      <c r="S72" s="10">
        <f t="shared" si="14"/>
        <v>135704</v>
      </c>
      <c r="T72" s="10">
        <f t="shared" si="12"/>
        <v>560151</v>
      </c>
      <c r="U72" s="10"/>
      <c r="V72" s="10"/>
      <c r="W72" s="9"/>
      <c r="X72" s="9"/>
      <c r="Y72" s="9"/>
    </row>
    <row r="73" spans="2:25" x14ac:dyDescent="0.25">
      <c r="B73" s="43">
        <v>45352</v>
      </c>
      <c r="F73" s="73">
        <f t="shared" si="15"/>
        <v>11</v>
      </c>
      <c r="G73" s="10">
        <v>706037</v>
      </c>
      <c r="H73" s="10">
        <v>7568</v>
      </c>
      <c r="I73" s="10">
        <v>472586</v>
      </c>
      <c r="J73" s="10">
        <v>16341</v>
      </c>
      <c r="K73" s="10">
        <v>4266</v>
      </c>
      <c r="M73" s="10">
        <f t="shared" si="10"/>
        <v>726644</v>
      </c>
      <c r="Q73">
        <f t="shared" si="11"/>
        <v>2</v>
      </c>
      <c r="R73" s="10">
        <f t="shared" si="13"/>
        <v>726644</v>
      </c>
      <c r="S73" s="10">
        <f t="shared" si="14"/>
        <v>7568</v>
      </c>
      <c r="T73" s="10">
        <f t="shared" si="12"/>
        <v>472586</v>
      </c>
      <c r="U73" s="10"/>
      <c r="V73" s="10"/>
      <c r="W73" s="9"/>
      <c r="X73" s="9"/>
      <c r="Y73" s="9"/>
    </row>
    <row r="74" spans="2:25" x14ac:dyDescent="0.25">
      <c r="B74" s="43">
        <v>45383</v>
      </c>
      <c r="F74" s="73">
        <f t="shared" si="15"/>
        <v>12</v>
      </c>
      <c r="G74" s="10">
        <v>769670</v>
      </c>
      <c r="H74" s="10">
        <v>100583</v>
      </c>
      <c r="I74" s="10">
        <v>546783</v>
      </c>
      <c r="J74" s="10">
        <v>15298</v>
      </c>
      <c r="K74" s="10">
        <v>2736</v>
      </c>
      <c r="M74" s="10">
        <f t="shared" si="10"/>
        <v>787704</v>
      </c>
      <c r="Q74">
        <f t="shared" si="11"/>
        <v>3</v>
      </c>
      <c r="R74" s="10">
        <f t="shared" si="13"/>
        <v>787704</v>
      </c>
      <c r="S74" s="10">
        <f t="shared" si="14"/>
        <v>100583</v>
      </c>
      <c r="T74" s="10">
        <f t="shared" si="12"/>
        <v>546783</v>
      </c>
      <c r="U74" s="10"/>
      <c r="V74" s="10"/>
      <c r="W74" s="9"/>
      <c r="X74" s="9"/>
      <c r="Y74" s="9"/>
    </row>
    <row r="75" spans="2:25" x14ac:dyDescent="0.25">
      <c r="B75" s="43">
        <v>45413</v>
      </c>
      <c r="F75" s="73">
        <f t="shared" si="15"/>
        <v>13</v>
      </c>
      <c r="G75" s="10">
        <v>526282</v>
      </c>
      <c r="H75" s="10">
        <v>9377</v>
      </c>
      <c r="I75" s="10">
        <v>450941</v>
      </c>
      <c r="J75" s="10">
        <v>8483</v>
      </c>
      <c r="K75" s="10">
        <v>844</v>
      </c>
      <c r="M75" s="10">
        <f t="shared" si="10"/>
        <v>535609</v>
      </c>
      <c r="Q75">
        <f t="shared" si="11"/>
        <v>4</v>
      </c>
      <c r="R75" s="10">
        <f t="shared" si="13"/>
        <v>535609</v>
      </c>
      <c r="S75" s="10">
        <f t="shared" si="14"/>
        <v>9377</v>
      </c>
      <c r="T75" s="10">
        <f t="shared" si="12"/>
        <v>450941</v>
      </c>
      <c r="U75" s="10"/>
      <c r="V75" s="10"/>
      <c r="W75" s="9"/>
      <c r="X75" s="9"/>
      <c r="Y75" s="9"/>
    </row>
    <row r="76" spans="2:25" x14ac:dyDescent="0.25">
      <c r="B76" s="43">
        <v>45444</v>
      </c>
      <c r="F76" s="73">
        <f t="shared" si="15"/>
        <v>14</v>
      </c>
      <c r="G76" s="10">
        <v>421498</v>
      </c>
      <c r="H76" s="10">
        <v>65208</v>
      </c>
      <c r="I76" s="10">
        <v>412115</v>
      </c>
      <c r="J76" s="10">
        <v>6707</v>
      </c>
      <c r="K76" s="10">
        <v>619</v>
      </c>
      <c r="M76" s="10">
        <f t="shared" si="10"/>
        <v>428824</v>
      </c>
      <c r="Q76">
        <f t="shared" si="11"/>
        <v>5</v>
      </c>
      <c r="R76" s="10">
        <f t="shared" si="13"/>
        <v>428824</v>
      </c>
      <c r="S76" s="10">
        <f t="shared" si="14"/>
        <v>65208</v>
      </c>
      <c r="T76" s="10">
        <f t="shared" si="12"/>
        <v>412115</v>
      </c>
      <c r="U76" s="10"/>
      <c r="V76" s="10"/>
      <c r="W76" s="9"/>
      <c r="X76" s="9"/>
      <c r="Y76" s="9"/>
    </row>
    <row r="77" spans="2:25" x14ac:dyDescent="0.25">
      <c r="B77" s="43">
        <v>45474</v>
      </c>
      <c r="F77" s="73">
        <f t="shared" si="15"/>
        <v>15</v>
      </c>
      <c r="G77" s="10">
        <v>383347</v>
      </c>
      <c r="H77" s="10">
        <v>14325</v>
      </c>
      <c r="I77" s="10">
        <v>577530</v>
      </c>
      <c r="J77" s="10">
        <v>8886</v>
      </c>
      <c r="K77" s="10">
        <v>658</v>
      </c>
      <c r="M77" s="10">
        <f t="shared" si="10"/>
        <v>392891</v>
      </c>
      <c r="Q77">
        <f t="shared" si="11"/>
        <v>6</v>
      </c>
      <c r="R77" s="10">
        <f t="shared" si="13"/>
        <v>392891</v>
      </c>
      <c r="S77" s="10">
        <f t="shared" si="14"/>
        <v>14325</v>
      </c>
      <c r="T77" s="10">
        <f t="shared" si="12"/>
        <v>577530</v>
      </c>
      <c r="U77" s="10"/>
      <c r="V77" s="10"/>
      <c r="W77" s="9"/>
      <c r="X77" s="9"/>
      <c r="Y77" s="9"/>
    </row>
    <row r="78" spans="2:25" x14ac:dyDescent="0.25">
      <c r="B78" s="43">
        <v>45505</v>
      </c>
      <c r="F78" s="73">
        <f t="shared" si="15"/>
        <v>16</v>
      </c>
      <c r="G78" s="10">
        <v>471827</v>
      </c>
      <c r="H78" s="10">
        <v>71560</v>
      </c>
      <c r="I78" s="10">
        <v>463799</v>
      </c>
      <c r="J78" s="10">
        <v>7663</v>
      </c>
      <c r="K78" s="10">
        <v>689</v>
      </c>
      <c r="M78" s="10">
        <f t="shared" si="10"/>
        <v>480179</v>
      </c>
      <c r="Q78">
        <f t="shared" si="11"/>
        <v>7</v>
      </c>
      <c r="R78" s="10">
        <f t="shared" si="13"/>
        <v>480179</v>
      </c>
      <c r="S78" s="10">
        <f t="shared" si="14"/>
        <v>71560</v>
      </c>
      <c r="T78" s="10">
        <f t="shared" si="12"/>
        <v>463799</v>
      </c>
      <c r="U78" s="10"/>
      <c r="V78" s="10"/>
      <c r="W78" s="9"/>
      <c r="X78" s="9"/>
      <c r="Y78" s="9"/>
    </row>
    <row r="79" spans="2:25" x14ac:dyDescent="0.25">
      <c r="B79" s="43">
        <v>45536</v>
      </c>
      <c r="F79" s="73">
        <f t="shared" si="15"/>
        <v>17</v>
      </c>
      <c r="G79" s="10">
        <v>320564</v>
      </c>
      <c r="H79" s="10">
        <v>12356</v>
      </c>
      <c r="I79" s="10">
        <v>428756</v>
      </c>
      <c r="J79" s="10">
        <v>6407</v>
      </c>
      <c r="K79" s="10">
        <v>289</v>
      </c>
      <c r="M79" s="10">
        <f t="shared" si="10"/>
        <v>327260</v>
      </c>
      <c r="Q79">
        <f t="shared" si="11"/>
        <v>8</v>
      </c>
      <c r="R79" s="10">
        <f t="shared" si="13"/>
        <v>327260</v>
      </c>
      <c r="S79" s="10">
        <f t="shared" si="14"/>
        <v>12356</v>
      </c>
      <c r="T79" s="10">
        <f t="shared" si="12"/>
        <v>428756</v>
      </c>
      <c r="U79" s="10"/>
      <c r="V79" s="10"/>
      <c r="W79" s="9"/>
      <c r="X79" s="9"/>
      <c r="Y79" s="9"/>
    </row>
    <row r="80" spans="2:25" x14ac:dyDescent="0.25">
      <c r="B80" s="43">
        <v>45566</v>
      </c>
      <c r="F80" s="73">
        <f t="shared" si="15"/>
        <v>18</v>
      </c>
      <c r="G80" s="10">
        <v>463707</v>
      </c>
      <c r="H80" s="10">
        <v>65440</v>
      </c>
      <c r="I80" s="10">
        <v>561822</v>
      </c>
      <c r="J80" s="10">
        <v>10560</v>
      </c>
      <c r="K80" s="10">
        <v>726</v>
      </c>
      <c r="M80" s="10">
        <f t="shared" si="10"/>
        <v>474993</v>
      </c>
      <c r="Q80">
        <f t="shared" si="11"/>
        <v>9</v>
      </c>
      <c r="R80" s="10">
        <f t="shared" si="13"/>
        <v>474993</v>
      </c>
      <c r="S80" s="10">
        <f t="shared" si="14"/>
        <v>65440</v>
      </c>
      <c r="T80" s="10">
        <f t="shared" si="12"/>
        <v>561822</v>
      </c>
      <c r="U80" s="10"/>
      <c r="V80" s="10"/>
      <c r="W80" s="9"/>
      <c r="X80" s="9"/>
      <c r="Y80" s="9"/>
    </row>
    <row r="81" spans="2:25" x14ac:dyDescent="0.25">
      <c r="B81" s="43">
        <v>45597</v>
      </c>
      <c r="F81" s="73">
        <f t="shared" si="15"/>
        <v>19</v>
      </c>
      <c r="G81" s="10">
        <v>504752</v>
      </c>
      <c r="H81" s="10">
        <v>14769</v>
      </c>
      <c r="I81" s="10">
        <v>464238</v>
      </c>
      <c r="J81" s="10">
        <v>13218</v>
      </c>
      <c r="K81" s="10">
        <v>2193</v>
      </c>
      <c r="M81" s="10">
        <f t="shared" si="10"/>
        <v>520163</v>
      </c>
      <c r="Q81">
        <f t="shared" si="11"/>
        <v>10</v>
      </c>
      <c r="R81" s="10">
        <f t="shared" si="13"/>
        <v>520163</v>
      </c>
      <c r="S81" s="10">
        <f t="shared" si="14"/>
        <v>14769</v>
      </c>
      <c r="T81" s="10">
        <f t="shared" si="12"/>
        <v>464238</v>
      </c>
      <c r="U81" s="10"/>
      <c r="V81" s="10"/>
      <c r="W81" s="9"/>
      <c r="X81" s="9"/>
      <c r="Y81" s="9"/>
    </row>
    <row r="82" spans="2:25" x14ac:dyDescent="0.25">
      <c r="B82" s="43">
        <v>45627</v>
      </c>
      <c r="F82" s="73">
        <f t="shared" si="15"/>
        <v>20</v>
      </c>
      <c r="G82" s="10">
        <v>842558</v>
      </c>
      <c r="H82" s="10">
        <v>121167</v>
      </c>
      <c r="I82" s="10">
        <v>665743</v>
      </c>
      <c r="J82" s="10">
        <v>26992</v>
      </c>
      <c r="K82" s="10">
        <v>14376</v>
      </c>
      <c r="M82" s="10">
        <f t="shared" si="10"/>
        <v>883926</v>
      </c>
      <c r="Q82">
        <f t="shared" si="11"/>
        <v>11</v>
      </c>
      <c r="R82" s="10">
        <f t="shared" si="13"/>
        <v>883926</v>
      </c>
      <c r="S82" s="10">
        <f t="shared" si="14"/>
        <v>121167</v>
      </c>
      <c r="T82" s="10">
        <f t="shared" si="12"/>
        <v>665743</v>
      </c>
      <c r="U82" s="10"/>
      <c r="V82" s="10"/>
      <c r="W82" s="9"/>
      <c r="X82" s="9"/>
      <c r="Y82" s="9"/>
    </row>
    <row r="83" spans="2:25" x14ac:dyDescent="0.25">
      <c r="B83" s="43">
        <v>45658</v>
      </c>
      <c r="F83" s="73">
        <f t="shared" si="15"/>
        <v>21</v>
      </c>
      <c r="G83" s="10">
        <v>878089</v>
      </c>
      <c r="H83" s="10">
        <v>20385</v>
      </c>
      <c r="I83" s="10">
        <v>642367</v>
      </c>
      <c r="J83" s="10">
        <v>27317</v>
      </c>
      <c r="K83" s="10">
        <v>16142</v>
      </c>
      <c r="M83" s="10">
        <f t="shared" si="10"/>
        <v>921548</v>
      </c>
      <c r="Q83">
        <f t="shared" si="11"/>
        <v>12</v>
      </c>
      <c r="R83" s="10">
        <f>M83/2</f>
        <v>460774</v>
      </c>
      <c r="S83" s="10">
        <f>H83/2</f>
        <v>10192.5</v>
      </c>
      <c r="T83" s="10"/>
      <c r="U83" s="10"/>
      <c r="V83" s="10"/>
    </row>
    <row r="84" spans="2:25" x14ac:dyDescent="0.25">
      <c r="B84" s="43"/>
      <c r="G84" s="10"/>
      <c r="H84" s="10"/>
      <c r="I84" s="10"/>
      <c r="J84" s="10"/>
      <c r="K84" s="10"/>
      <c r="M84" s="10"/>
      <c r="S84" s="43"/>
      <c r="T84" s="10"/>
      <c r="U84" s="10"/>
      <c r="V84" s="10"/>
    </row>
    <row r="85" spans="2:25" x14ac:dyDescent="0.25">
      <c r="B85" s="43"/>
      <c r="G85" s="10"/>
      <c r="H85" s="10"/>
      <c r="I85" s="10"/>
      <c r="J85" s="10"/>
      <c r="K85" s="10"/>
      <c r="M85" s="10"/>
      <c r="S85" s="43"/>
      <c r="T85" s="10"/>
      <c r="U85" s="10"/>
      <c r="V85" s="10"/>
    </row>
    <row r="86" spans="2:25" x14ac:dyDescent="0.25">
      <c r="B86" s="43"/>
      <c r="G86" s="10"/>
      <c r="H86" s="10"/>
      <c r="I86" s="10"/>
      <c r="J86" s="10"/>
      <c r="K86" s="10"/>
      <c r="M86" s="10"/>
      <c r="P86" s="10"/>
      <c r="Q86" s="74" t="s">
        <v>103</v>
      </c>
      <c r="R86" s="74">
        <f>SUM(R59:R85)</f>
        <v>15257095</v>
      </c>
      <c r="S86" s="74">
        <f>SUM(S59:S85)</f>
        <v>1214275</v>
      </c>
      <c r="T86" s="74">
        <f>SUM(T59:T85)</f>
        <v>11550446</v>
      </c>
      <c r="U86" s="10"/>
      <c r="V86" s="10"/>
    </row>
    <row r="87" spans="2:25" x14ac:dyDescent="0.25">
      <c r="B87" s="43"/>
      <c r="G87" s="10"/>
      <c r="H87" s="10"/>
      <c r="I87" s="10"/>
      <c r="J87" s="10"/>
      <c r="K87" s="10"/>
      <c r="M87" s="10"/>
      <c r="U87" s="10"/>
      <c r="V87" s="10"/>
    </row>
    <row r="88" spans="2:25" x14ac:dyDescent="0.25">
      <c r="B88" s="43"/>
      <c r="G88" s="10"/>
      <c r="H88" s="10"/>
      <c r="I88" s="10"/>
      <c r="J88" s="10"/>
      <c r="K88" s="10"/>
      <c r="M88" s="10"/>
      <c r="P88">
        <v>1</v>
      </c>
      <c r="Q88" t="s">
        <v>1</v>
      </c>
      <c r="R88" s="9">
        <f t="shared" ref="R88:R99" si="16">SUMIF($Q$59:$Q$83,P88,$R$59:$R$83)/$R$86</f>
        <v>0.13799291411635045</v>
      </c>
      <c r="S88" s="9">
        <f t="shared" ref="S88:S99" si="17">SUMIF($Q$59:$Q$83,P88,$S$59:$S$83)/$S$86</f>
        <v>0.21313211587161063</v>
      </c>
      <c r="T88" s="9">
        <f t="shared" ref="T88:T99" si="18">(T59+T71)/$T$86</f>
        <v>9.5086544710048432E-2</v>
      </c>
      <c r="U88" s="10"/>
      <c r="V88" s="10"/>
    </row>
    <row r="89" spans="2:25" x14ac:dyDescent="0.25">
      <c r="B89" s="43"/>
      <c r="G89" s="10"/>
      <c r="H89" s="10"/>
      <c r="I89" s="10"/>
      <c r="J89" s="10"/>
      <c r="K89" s="10"/>
      <c r="M89" s="10"/>
      <c r="P89">
        <f>P88+1</f>
        <v>2</v>
      </c>
      <c r="Q89" t="s">
        <v>65</v>
      </c>
      <c r="R89" s="9">
        <f t="shared" si="16"/>
        <v>0.10259030306883453</v>
      </c>
      <c r="S89" s="9">
        <f t="shared" si="17"/>
        <v>1.4099771468571781E-2</v>
      </c>
      <c r="T89" s="9">
        <f t="shared" si="18"/>
        <v>9.7948425541316761E-2</v>
      </c>
      <c r="U89" s="10"/>
      <c r="V89" s="10"/>
    </row>
    <row r="90" spans="2:25" x14ac:dyDescent="0.25">
      <c r="B90" s="43"/>
      <c r="G90" s="10"/>
      <c r="H90" s="10"/>
      <c r="I90" s="10"/>
      <c r="J90" s="10"/>
      <c r="K90" s="10"/>
      <c r="M90" s="10"/>
      <c r="P90">
        <f t="shared" ref="P90:P99" si="19">P89+1</f>
        <v>3</v>
      </c>
      <c r="Q90" t="s">
        <v>66</v>
      </c>
      <c r="R90" s="9">
        <f t="shared" si="16"/>
        <v>9.9979452182738585E-2</v>
      </c>
      <c r="S90" s="9">
        <f t="shared" si="17"/>
        <v>0.15384076918325751</v>
      </c>
      <c r="T90" s="9">
        <f t="shared" si="18"/>
        <v>7.3278642227321791E-2</v>
      </c>
      <c r="U90" s="10"/>
      <c r="V90" s="10"/>
    </row>
    <row r="91" spans="2:25" x14ac:dyDescent="0.25">
      <c r="B91" s="43"/>
      <c r="G91" s="10"/>
      <c r="H91" s="10"/>
      <c r="I91" s="10"/>
      <c r="J91" s="10"/>
      <c r="K91" s="10"/>
      <c r="M91" s="10"/>
      <c r="P91">
        <f t="shared" si="19"/>
        <v>4</v>
      </c>
      <c r="Q91" t="s">
        <v>67</v>
      </c>
      <c r="R91" s="9">
        <f t="shared" si="16"/>
        <v>7.1042423213593414E-2</v>
      </c>
      <c r="S91" s="9">
        <f t="shared" si="17"/>
        <v>1.5372959173169175E-2</v>
      </c>
      <c r="T91" s="9">
        <f t="shared" si="18"/>
        <v>8.1716238489838403E-2</v>
      </c>
      <c r="U91" s="10"/>
      <c r="V91" s="10"/>
    </row>
    <row r="92" spans="2:25" x14ac:dyDescent="0.25">
      <c r="B92" s="43"/>
      <c r="H92" s="10"/>
      <c r="I92" s="10"/>
      <c r="J92" s="10"/>
      <c r="K92" s="10"/>
      <c r="M92" s="10"/>
      <c r="P92">
        <f t="shared" si="19"/>
        <v>5</v>
      </c>
      <c r="Q92" t="s">
        <v>0</v>
      </c>
      <c r="R92" s="9">
        <f t="shared" si="16"/>
        <v>6.0305516875919042E-2</v>
      </c>
      <c r="S92" s="9">
        <f t="shared" si="17"/>
        <v>0.10881225422577258</v>
      </c>
      <c r="T92" s="9">
        <f t="shared" si="18"/>
        <v>7.4250293018988181E-2</v>
      </c>
      <c r="U92" s="10"/>
      <c r="V92" s="10"/>
    </row>
    <row r="93" spans="2:25" x14ac:dyDescent="0.25">
      <c r="B93" s="43"/>
      <c r="H93" s="10"/>
      <c r="I93" s="10"/>
      <c r="J93" s="10"/>
      <c r="K93" s="10"/>
      <c r="M93" s="10"/>
      <c r="P93">
        <f t="shared" si="19"/>
        <v>6</v>
      </c>
      <c r="Q93" t="s">
        <v>68</v>
      </c>
      <c r="R93" s="9">
        <f t="shared" si="16"/>
        <v>5.2444190719137557E-2</v>
      </c>
      <c r="S93" s="9">
        <f t="shared" si="17"/>
        <v>2.2779848057482861E-2</v>
      </c>
      <c r="T93" s="9">
        <f t="shared" si="18"/>
        <v>6.9431344902179531E-2</v>
      </c>
      <c r="U93" s="10"/>
      <c r="V93" s="10"/>
    </row>
    <row r="94" spans="2:25" x14ac:dyDescent="0.25">
      <c r="B94" s="43"/>
      <c r="H94" s="10"/>
      <c r="I94" s="10"/>
      <c r="J94" s="10"/>
      <c r="K94" s="10"/>
      <c r="M94" s="10"/>
      <c r="P94">
        <f t="shared" si="19"/>
        <v>7</v>
      </c>
      <c r="Q94" t="s">
        <v>69</v>
      </c>
      <c r="R94" s="9">
        <f t="shared" si="16"/>
        <v>6.3076293357287219E-2</v>
      </c>
      <c r="S94" s="9">
        <f t="shared" si="17"/>
        <v>0.11960223178439809</v>
      </c>
      <c r="T94" s="9">
        <f t="shared" si="18"/>
        <v>8.7785960819175293E-2</v>
      </c>
      <c r="U94" s="10"/>
      <c r="V94" s="10"/>
    </row>
    <row r="95" spans="2:25" x14ac:dyDescent="0.25">
      <c r="B95" s="43"/>
      <c r="H95" s="10"/>
      <c r="I95" s="10"/>
      <c r="J95" s="10"/>
      <c r="K95" s="10"/>
      <c r="M95" s="10"/>
      <c r="P95">
        <f t="shared" si="19"/>
        <v>8</v>
      </c>
      <c r="Q95" t="s">
        <v>70</v>
      </c>
      <c r="R95" s="9">
        <f t="shared" si="16"/>
        <v>4.6477327433564516E-2</v>
      </c>
      <c r="S95" s="9">
        <f t="shared" si="17"/>
        <v>2.0290296679088344E-2</v>
      </c>
      <c r="T95" s="9">
        <f t="shared" si="18"/>
        <v>7.3811175776242757E-2</v>
      </c>
    </row>
    <row r="96" spans="2:25" x14ac:dyDescent="0.25">
      <c r="P96">
        <f t="shared" si="19"/>
        <v>9</v>
      </c>
      <c r="Q96" t="s">
        <v>71</v>
      </c>
      <c r="R96" s="9">
        <f t="shared" si="16"/>
        <v>6.0567165636708692E-2</v>
      </c>
      <c r="S96" s="9">
        <f t="shared" si="17"/>
        <v>0.10587058121101069</v>
      </c>
      <c r="T96" s="9">
        <f t="shared" si="18"/>
        <v>6.9110578067721362E-2</v>
      </c>
    </row>
    <row r="97" spans="16:20" x14ac:dyDescent="0.25">
      <c r="P97">
        <f t="shared" si="19"/>
        <v>10</v>
      </c>
      <c r="Q97" t="s">
        <v>42</v>
      </c>
      <c r="R97" s="9">
        <f t="shared" si="16"/>
        <v>7.1724663181293682E-2</v>
      </c>
      <c r="S97" s="9">
        <f t="shared" si="17"/>
        <v>2.0588416956620205E-2</v>
      </c>
      <c r="T97" s="9">
        <f t="shared" si="18"/>
        <v>8.7498785761173203E-2</v>
      </c>
    </row>
    <row r="98" spans="16:20" x14ac:dyDescent="0.25">
      <c r="P98">
        <f t="shared" si="19"/>
        <v>11</v>
      </c>
      <c r="Q98" t="s">
        <v>43</v>
      </c>
      <c r="R98" s="9">
        <f t="shared" si="16"/>
        <v>0.1130618902222212</v>
      </c>
      <c r="S98" s="9">
        <f t="shared" si="17"/>
        <v>0.18259949352494287</v>
      </c>
      <c r="T98" s="9">
        <f t="shared" si="18"/>
        <v>8.2502701627279157E-2</v>
      </c>
    </row>
    <row r="99" spans="16:20" x14ac:dyDescent="0.25">
      <c r="P99">
        <f t="shared" si="19"/>
        <v>12</v>
      </c>
      <c r="Q99" t="s">
        <v>44</v>
      </c>
      <c r="R99" s="9">
        <f t="shared" si="16"/>
        <v>0.12073785999235109</v>
      </c>
      <c r="S99" s="9">
        <f t="shared" si="17"/>
        <v>2.3011261864075271E-2</v>
      </c>
      <c r="T99" s="9">
        <f t="shared" si="18"/>
        <v>0.10757930905871514</v>
      </c>
    </row>
    <row r="100" spans="16:20" x14ac:dyDescent="0.25">
      <c r="R100" s="2">
        <f>SUM(R88:R99)</f>
        <v>1</v>
      </c>
      <c r="S100" s="2">
        <f>SUM(S88:S99)</f>
        <v>1</v>
      </c>
      <c r="T100" s="2">
        <f>SUM(T88:T99)</f>
        <v>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Deferral calc</vt:lpstr>
      <vt:lpstr>Load Analysis kWh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Yeadon-Wentzell</dc:creator>
  <cp:lastModifiedBy>Painting-MacLean, Kimberly</cp:lastModifiedBy>
  <dcterms:created xsi:type="dcterms:W3CDTF">2024-10-07T12:08:46Z</dcterms:created>
  <dcterms:modified xsi:type="dcterms:W3CDTF">2025-12-18T17:54:26Z</dcterms:modified>
</cp:coreProperties>
</file>