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0D44D7BB-61A6-40E0-8973-855EF672E0AD}" xr6:coauthVersionLast="47" xr6:coauthVersionMax="47" xr10:uidLastSave="{00000000-0000-0000-0000-000000000000}"/>
  <bookViews>
    <workbookView xWindow="-120" yWindow="-120" windowWidth="29040" windowHeight="15720" xr2:uid="{CDE62C65-5562-4139-9E7E-AF2CAEC8D18F}"/>
  </bookViews>
  <sheets>
    <sheet name="2026 EV Load Forecast" sheetId="7" r:id="rId1"/>
    <sheet name="Sales Comparison" sheetId="8" r:id="rId2"/>
  </sheets>
  <definedNames>
    <definedName name="__123Graph_B" hidden="1">#REF!</definedName>
    <definedName name="__123Graph_X" hidden="1">#REF!</definedName>
    <definedName name="__FDS_HYPERLINK_TOGGLE_STATE__" hidden="1">"ON"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localSheetId="0" hidden="1">255</definedName>
    <definedName name="_Order2" hidden="1">0</definedName>
    <definedName name="_Sort" hidden="1">#REF!</definedName>
    <definedName name="active_inflation_rate">#REF!</definedName>
    <definedName name="active_run_id">#REF!</definedName>
    <definedName name="active_run_installation_year_only">#REF!</definedName>
    <definedName name="active_run_series_id">#REF!</definedName>
    <definedName name="average_co2_emission">#REF!</definedName>
    <definedName name="bb_MTk0NDE5QTI2NTVBNDM0Mz" hidden="1">#REF!</definedName>
    <definedName name="BLPH1" hidden="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building_installation_year">#REF!</definedName>
    <definedName name="Central_Diversity_Factor">#REF!</definedName>
    <definedName name="Central_Duty_Cycle">#REF!</definedName>
    <definedName name="Central_Elec_Peak">#REF!</definedName>
    <definedName name="Central_HP_Peak">#REF!</definedName>
    <definedName name="ChartTime">#REF!</definedName>
    <definedName name="ChartValues">#REF!</definedName>
    <definedName name="co2_tonne_gallon">#REF!</definedName>
    <definedName name="co2_tonne_therm">#REF!</definedName>
    <definedName name="Comp_per_home">#REF!</definedName>
    <definedName name="cust_disc_rate">#REF!</definedName>
    <definedName name="Customer_Report">#REF!</definedName>
    <definedName name="Customer_Report_Data">#REF!</definedName>
    <definedName name="DSMYear">#REF!</definedName>
    <definedName name="Elec_Conv_Energy">#REF!</definedName>
    <definedName name="Elec_Conv_Peak">#REF!</definedName>
    <definedName name="elec_rate_escalator">#REF!</definedName>
    <definedName name="grid_co2_emission">#REF!</definedName>
    <definedName name="grid_nox_emission">#REF!</definedName>
    <definedName name="grid_pm_emission">#REF!</definedName>
    <definedName name="hp_life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"6/2/98"</definedName>
    <definedName name="HTML_LineAfter" hidden="1">FALSE</definedName>
    <definedName name="HTML_LineBefore" hidden="1">FALSE</definedName>
    <definedName name="HTML_Name" hidden="1">"Arti Choxi -"</definedName>
    <definedName name="HTML_OBDlg2" hidden="1">TRUE</definedName>
    <definedName name="HTML_OBDlg4" hidden="1">TRUE</definedName>
    <definedName name="HTML_OS" hidden="1">0</definedName>
    <definedName name="HTML_PathFile" hidden="1">"H:\PRJ\STEO_NEW\5TABB.htm"</definedName>
    <definedName name="HTML_Title" hidden="1">""</definedName>
    <definedName name="IND_SECT_TTL">#REF!</definedName>
    <definedName name="inflation_rate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oad_management">#REF!</definedName>
    <definedName name="loss">#REF!</definedName>
    <definedName name="marginal_capacity">#REF!</definedName>
    <definedName name="marginal_dist">#REF!</definedName>
    <definedName name="marginal_energy">#REF!</definedName>
    <definedName name="marginal_trans">#REF!</definedName>
    <definedName name="New_Const_Energy">#REF!</definedName>
    <definedName name="New_Const_Peak">#REF!</definedName>
    <definedName name="nox_tonne_gallon">#REF!</definedName>
    <definedName name="nox_tonne_therm">#REF!</definedName>
    <definedName name="Oil_Conv_Energy">#REF!</definedName>
    <definedName name="Oil_Conv_Peak">#REF!</definedName>
    <definedName name="om_ev">#REF!</definedName>
    <definedName name="om_ice">#REF!</definedName>
    <definedName name="om_incremental">#REF!</definedName>
    <definedName name="Percent_Central">#REF!</definedName>
    <definedName name="pm_tonne_gallon">#REF!</definedName>
    <definedName name="pm10_tonne_therm">#REF!</definedName>
    <definedName name="_xlnm.Print_Area" localSheetId="0">'2026 EV Load Forecast'!$A$1:$AB$19</definedName>
    <definedName name="rate_scenario">#REF!</definedName>
    <definedName name="society_disc_rate">#REF!</definedName>
    <definedName name="util_disc_rate">#REF!</definedName>
    <definedName name="veh_adoption_year">#REF!</definedName>
    <definedName name="vehicle_lifetime">#REF!</definedName>
    <definedName name="vmt">#REF!</definedName>
    <definedName name="wh_life">#REF!</definedName>
    <definedName name="wrn.PrintMNPGA." hidden="1">{#N/A,#N/A,FALSE,"Schedule B1-MN";#N/A,#N/A,FALSE,"ScheduleB2-MN";#N/A,#N/A,FALSE,"ScheduleB3-MN";#N/A,#N/A,FALSE,"ScheduleB4-MN"}</definedName>
    <definedName name="wrn.PrintNDPGA." hidden="1">{#N/A,#N/A,FALSE,"ScheduleB1-ND";#N/A,#N/A,FALSE,"ScheduleB2-ND";#N/A,#N/A,FALSE,"ScheduleB3-ND";#N/A,#N/A,FALSE,"ScheduleB4-ND";#N/A,#N/A,FALSE,"ScheduleB5-ND"}</definedName>
    <definedName name="wrn.PrintPGA." hidden="1">{"MNScheduleA",#N/A,FALSE,"dec95pga";"MNScheduleBp1",#N/A,FALSE,"dec95pga";"MNScheduleBp2",#N/A,FALSE,"dec95pga";"MNScheduleBp3",#N/A,FALSE,"dec95pga";"MNScheduleBp4",#N/A,FALSE,"dec95pga";"NDScheduleA",#N/A,FALSE,"dec95pga";"NDScheduleBp1",#N/A,FALSE,"dec95pga";"NDScheduleBp2",#N/A,FALSE,"dec95pga";"NDScheduleBp3",#N/A,FALSE,"dec95pga";"NDScheduleBp4",#N/A,FALSE,"dec95pga";"NDScheduleBp5",#N/A,FALSE,"dec95pga"}</definedName>
    <definedName name="Year">#REF!</definedName>
  </definedNames>
  <calcPr calcId="191028" iterate="1" iterateCount="10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8" l="1"/>
  <c r="C5" i="8"/>
  <c r="C6" i="8"/>
  <c r="C7" i="8"/>
  <c r="C8" i="8"/>
  <c r="C9" i="8"/>
  <c r="C10" i="8"/>
  <c r="C11" i="8"/>
  <c r="C12" i="8"/>
  <c r="C13" i="8"/>
  <c r="C3" i="8"/>
  <c r="N9" i="7"/>
  <c r="F10" i="7"/>
  <c r="F11" i="7"/>
  <c r="F12" i="7"/>
  <c r="F13" i="7"/>
  <c r="F14" i="7"/>
  <c r="F15" i="7"/>
  <c r="F16" i="7"/>
  <c r="F17" i="7"/>
  <c r="F18" i="7"/>
  <c r="F19" i="7"/>
  <c r="J9" i="7"/>
  <c r="H9" i="7" l="1"/>
  <c r="F9" i="7" l="1"/>
  <c r="A10" i="7"/>
  <c r="A11" i="7" s="1"/>
  <c r="A12" i="7" s="1"/>
  <c r="A13" i="7" s="1"/>
  <c r="A14" i="7" s="1"/>
  <c r="A15" i="7" s="1"/>
  <c r="A16" i="7" s="1"/>
  <c r="A17" i="7" s="1"/>
  <c r="A18" i="7" s="1"/>
  <c r="A19" i="7" s="1"/>
  <c r="I3" i="7"/>
  <c r="H3" i="7"/>
  <c r="G13" i="7" l="1"/>
  <c r="G12" i="7"/>
  <c r="G11" i="7"/>
  <c r="G10" i="7"/>
  <c r="G15" i="7"/>
  <c r="G19" i="7"/>
  <c r="G17" i="7"/>
  <c r="G14" i="7"/>
  <c r="G18" i="7"/>
  <c r="G16" i="7"/>
  <c r="G9" i="7"/>
  <c r="AA10" i="7"/>
  <c r="AA11" i="7"/>
  <c r="AA12" i="7"/>
  <c r="AA13" i="7"/>
  <c r="AA14" i="7"/>
  <c r="AA15" i="7"/>
  <c r="AA16" i="7"/>
  <c r="AA17" i="7"/>
  <c r="AA18" i="7"/>
  <c r="AA19" i="7"/>
  <c r="AA9" i="7"/>
  <c r="T10" i="7"/>
  <c r="T9" i="7"/>
  <c r="X9" i="7"/>
  <c r="Z10" i="7"/>
  <c r="Z11" i="7"/>
  <c r="Z12" i="7"/>
  <c r="Z13" i="7"/>
  <c r="Z14" i="7"/>
  <c r="Z15" i="7"/>
  <c r="Z16" i="7"/>
  <c r="Z17" i="7"/>
  <c r="Z18" i="7"/>
  <c r="Z19" i="7"/>
  <c r="Z9" i="7"/>
  <c r="W9" i="7"/>
  <c r="Y10" i="7"/>
  <c r="Y11" i="7"/>
  <c r="Y12" i="7"/>
  <c r="Y13" i="7"/>
  <c r="Y14" i="7"/>
  <c r="Y15" i="7"/>
  <c r="Y16" i="7"/>
  <c r="Y17" i="7"/>
  <c r="Y18" i="7"/>
  <c r="Y19" i="7"/>
  <c r="Y9" i="7"/>
  <c r="V9" i="7"/>
  <c r="V10" i="7"/>
  <c r="V11" i="7"/>
  <c r="V12" i="7"/>
  <c r="V13" i="7"/>
  <c r="V14" i="7"/>
  <c r="V15" i="7"/>
  <c r="V16" i="7"/>
  <c r="V17" i="7"/>
  <c r="V18" i="7"/>
  <c r="V19" i="7"/>
  <c r="R9" i="7"/>
  <c r="L3" i="7"/>
  <c r="O9" i="7" s="1"/>
  <c r="K3" i="7"/>
  <c r="L9" i="7" s="1"/>
  <c r="J3" i="7"/>
  <c r="S9" i="7"/>
  <c r="I9" i="7" l="1"/>
  <c r="X19" i="7"/>
  <c r="W19" i="7"/>
  <c r="T19" i="7"/>
  <c r="S19" i="7"/>
  <c r="R19" i="7"/>
  <c r="N19" i="7"/>
  <c r="O19" i="7" s="1"/>
  <c r="J19" i="7"/>
  <c r="L19" i="7" s="1"/>
  <c r="X18" i="7"/>
  <c r="W18" i="7"/>
  <c r="T18" i="7"/>
  <c r="S18" i="7"/>
  <c r="R18" i="7"/>
  <c r="N18" i="7"/>
  <c r="O18" i="7" s="1"/>
  <c r="J18" i="7"/>
  <c r="X17" i="7"/>
  <c r="W17" i="7"/>
  <c r="T17" i="7"/>
  <c r="S17" i="7"/>
  <c r="R17" i="7"/>
  <c r="N17" i="7"/>
  <c r="O17" i="7" s="1"/>
  <c r="J17" i="7"/>
  <c r="L17" i="7" s="1"/>
  <c r="H17" i="7"/>
  <c r="I17" i="7" s="1"/>
  <c r="X16" i="7"/>
  <c r="W16" i="7"/>
  <c r="T16" i="7"/>
  <c r="S16" i="7"/>
  <c r="R16" i="7"/>
  <c r="N16" i="7"/>
  <c r="O16" i="7" s="1"/>
  <c r="J16" i="7"/>
  <c r="L16" i="7" s="1"/>
  <c r="H16" i="7"/>
  <c r="I16" i="7" s="1"/>
  <c r="X15" i="7"/>
  <c r="W15" i="7"/>
  <c r="T15" i="7"/>
  <c r="S15" i="7"/>
  <c r="R15" i="7"/>
  <c r="N15" i="7"/>
  <c r="O15" i="7" s="1"/>
  <c r="J15" i="7"/>
  <c r="L15" i="7" s="1"/>
  <c r="X14" i="7"/>
  <c r="W14" i="7"/>
  <c r="T14" i="7"/>
  <c r="S14" i="7"/>
  <c r="R14" i="7"/>
  <c r="N14" i="7"/>
  <c r="O14" i="7" s="1"/>
  <c r="J14" i="7"/>
  <c r="L14" i="7" s="1"/>
  <c r="H14" i="7"/>
  <c r="I14" i="7" s="1"/>
  <c r="X13" i="7"/>
  <c r="W13" i="7"/>
  <c r="T13" i="7"/>
  <c r="S13" i="7"/>
  <c r="R13" i="7"/>
  <c r="N13" i="7"/>
  <c r="O13" i="7" s="1"/>
  <c r="J13" i="7"/>
  <c r="L13" i="7" s="1"/>
  <c r="H13" i="7"/>
  <c r="I13" i="7" s="1"/>
  <c r="X12" i="7"/>
  <c r="W12" i="7"/>
  <c r="T12" i="7"/>
  <c r="S12" i="7"/>
  <c r="R12" i="7"/>
  <c r="N12" i="7"/>
  <c r="O12" i="7" s="1"/>
  <c r="J12" i="7"/>
  <c r="L12" i="7" s="1"/>
  <c r="X11" i="7"/>
  <c r="W11" i="7"/>
  <c r="T11" i="7"/>
  <c r="S11" i="7"/>
  <c r="R11" i="7"/>
  <c r="N11" i="7"/>
  <c r="O11" i="7" s="1"/>
  <c r="J11" i="7"/>
  <c r="L11" i="7" s="1"/>
  <c r="H11" i="7"/>
  <c r="I11" i="7" s="1"/>
  <c r="X10" i="7"/>
  <c r="W10" i="7"/>
  <c r="S10" i="7"/>
  <c r="R10" i="7"/>
  <c r="N10" i="7"/>
  <c r="O10" i="7" s="1"/>
  <c r="J10" i="7"/>
  <c r="L10" i="7" s="1"/>
  <c r="H10" i="7"/>
  <c r="I10" i="7" s="1"/>
  <c r="H19" i="7"/>
  <c r="I19" i="7" s="1"/>
  <c r="K18" i="7" l="1"/>
  <c r="L18" i="7"/>
  <c r="K12" i="7"/>
  <c r="K9" i="7"/>
  <c r="K15" i="7"/>
  <c r="K10" i="7"/>
  <c r="K13" i="7"/>
  <c r="K16" i="7"/>
  <c r="K19" i="7"/>
  <c r="K11" i="7"/>
  <c r="K14" i="7"/>
  <c r="K17" i="7"/>
  <c r="H12" i="7"/>
  <c r="I12" i="7" s="1"/>
  <c r="H15" i="7"/>
  <c r="I15" i="7" s="1"/>
  <c r="H18" i="7"/>
  <c r="I18" i="7" s="1"/>
</calcChain>
</file>

<file path=xl/sharedStrings.xml><?xml version="1.0" encoding="utf-8"?>
<sst xmlns="http://schemas.openxmlformats.org/spreadsheetml/2006/main" count="51" uniqueCount="43">
  <si>
    <t>kWh/year</t>
  </si>
  <si>
    <t>kW/vehicle on peak (managed)</t>
  </si>
  <si>
    <t>kW/vehicle on peak (unmanaged)</t>
  </si>
  <si>
    <t>Home</t>
  </si>
  <si>
    <t>Workplace</t>
  </si>
  <si>
    <t>Public L2</t>
  </si>
  <si>
    <t>Public DCFC</t>
  </si>
  <si>
    <t>LDV</t>
  </si>
  <si>
    <t>BEV</t>
  </si>
  <si>
    <t>PHEV</t>
  </si>
  <si>
    <t>Energy (GWh)</t>
  </si>
  <si>
    <t>Peak (MW), managed</t>
  </si>
  <si>
    <t>Peak (MW), unmanaged</t>
  </si>
  <si>
    <t>Peak by Charging type</t>
  </si>
  <si>
    <t>Managed</t>
  </si>
  <si>
    <t>MDV</t>
  </si>
  <si>
    <t>Unmanaged</t>
  </si>
  <si>
    <t>Transit Bus</t>
  </si>
  <si>
    <t>New vehicles</t>
  </si>
  <si>
    <t>Energy</t>
  </si>
  <si>
    <t>Peak (managed)</t>
  </si>
  <si>
    <t>Peak (unmanaged)</t>
  </si>
  <si>
    <t xml:space="preserve">Year </t>
  </si>
  <si>
    <t>BEV tot</t>
  </si>
  <si>
    <t>PHEV tot</t>
  </si>
  <si>
    <t>HDV</t>
  </si>
  <si>
    <t>Total New Vehicles</t>
  </si>
  <si>
    <t>Total vehicles in system</t>
  </si>
  <si>
    <t>Total Load (GWh)</t>
  </si>
  <si>
    <t>Avg kW per car</t>
  </si>
  <si>
    <t>Res Charging (75% of LDV)</t>
  </si>
  <si>
    <t>Commercial public LDV charging (25%)</t>
  </si>
  <si>
    <t>Commercial MDV+HDV</t>
  </si>
  <si>
    <t>Commercial public LDV charging</t>
  </si>
  <si>
    <t>Vehicles already in system at end of 2025:</t>
  </si>
  <si>
    <t>Total Peak (MW)</t>
  </si>
  <si>
    <t>Peak (MW)</t>
  </si>
  <si>
    <t>Total Peak, unmanaged (MW)</t>
  </si>
  <si>
    <t>Peak, unmanaged (MW)</t>
  </si>
  <si>
    <t>2025 EV Forecast</t>
  </si>
  <si>
    <t>Dunsky EV Low</t>
  </si>
  <si>
    <t>Dunsky EV High</t>
  </si>
  <si>
    <t>2026 EV Forecast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</si>
</sst>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_)"/>
    <numFmt numFmtId="165" formatCode="0_)"/>
    <numFmt numFmtId="166" formatCode="_(* #,##0_);_(* \(#,##0\);_(* &quot;-&quot;??_);_(@_)"/>
    <numFmt numFmtId="167" formatCode="0.0"/>
    <numFmt numFmtId="168" formatCode="0.00_)"/>
    <numFmt numFmtId="169" formatCode="_(* #,##0.0_);_(* \(#,##0.0\);_(* &quot;-&quot;??_);_(@_)"/>
    <numFmt numFmtId="170" formatCode="0.000"/>
  </numFmts>
  <fonts count="7" x14ac:knownFonts="1">
    <font>
      <sz val="12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rial"/>
      <family val="2"/>
    </font>
    <font>
      <sz val="10"/>
      <name val="Corbel"/>
      <family val="2"/>
    </font>
    <font>
      <b/>
      <sz val="10"/>
      <name val="Corbel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164" fontId="0" fillId="0" borderId="0"/>
    <xf numFmtId="0" fontId="2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4">
    <xf numFmtId="164" fontId="0" fillId="0" borderId="0" xfId="0"/>
    <xf numFmtId="165" fontId="4" fillId="0" borderId="0" xfId="2" applyNumberFormat="1" applyFont="1"/>
    <xf numFmtId="165" fontId="5" fillId="0" borderId="0" xfId="2" applyNumberFormat="1" applyFont="1"/>
    <xf numFmtId="0" fontId="1" fillId="0" borderId="0" xfId="2"/>
    <xf numFmtId="168" fontId="4" fillId="0" borderId="0" xfId="2" applyNumberFormat="1" applyFont="1"/>
    <xf numFmtId="0" fontId="5" fillId="0" borderId="0" xfId="2" applyFont="1"/>
    <xf numFmtId="0" fontId="5" fillId="0" borderId="0" xfId="2" applyFont="1" applyAlignment="1">
      <alignment wrapText="1"/>
    </xf>
    <xf numFmtId="166" fontId="4" fillId="0" borderId="0" xfId="3" applyNumberFormat="1" applyFont="1"/>
    <xf numFmtId="167" fontId="4" fillId="0" borderId="0" xfId="2" applyNumberFormat="1" applyFont="1"/>
    <xf numFmtId="169" fontId="4" fillId="0" borderId="0" xfId="2" applyNumberFormat="1" applyFont="1"/>
    <xf numFmtId="166" fontId="4" fillId="0" borderId="0" xfId="2" applyNumberFormat="1" applyFont="1"/>
    <xf numFmtId="0" fontId="5" fillId="0" borderId="0" xfId="2" applyFont="1" applyAlignment="1">
      <alignment horizontal="left" wrapText="1"/>
    </xf>
    <xf numFmtId="2" fontId="1" fillId="0" borderId="0" xfId="2" applyNumberFormat="1"/>
    <xf numFmtId="167" fontId="1" fillId="0" borderId="0" xfId="2" applyNumberFormat="1"/>
    <xf numFmtId="170" fontId="1" fillId="0" borderId="0" xfId="2" applyNumberFormat="1"/>
    <xf numFmtId="0" fontId="6" fillId="0" borderId="0" xfId="2" applyFont="1"/>
    <xf numFmtId="165" fontId="5" fillId="0" borderId="0" xfId="2" applyNumberFormat="1" applyFont="1" applyAlignment="1">
      <alignment wrapText="1"/>
    </xf>
    <xf numFmtId="164" fontId="4" fillId="0" borderId="0" xfId="2" applyNumberFormat="1" applyFont="1"/>
    <xf numFmtId="1" fontId="1" fillId="0" borderId="0" xfId="2" applyNumberFormat="1"/>
    <xf numFmtId="165" fontId="0" fillId="0" borderId="0" xfId="0" applyNumberFormat="1"/>
    <xf numFmtId="166" fontId="0" fillId="0" borderId="0" xfId="4" applyNumberFormat="1" applyFont="1"/>
    <xf numFmtId="166" fontId="3" fillId="0" borderId="0" xfId="4" applyNumberFormat="1" applyFont="1"/>
    <xf numFmtId="165" fontId="5" fillId="0" borderId="0" xfId="2" applyNumberFormat="1" applyFont="1" applyAlignment="1">
      <alignment horizontal="center"/>
    </xf>
    <xf numFmtId="0" fontId="1" fillId="0" borderId="0" xfId="2" applyAlignment="1">
      <alignment horizontal="center" vertical="center" wrapText="1"/>
    </xf>
  </cellXfs>
  <cellStyles count="5">
    <cellStyle name="Comma" xfId="4" builtinId="3"/>
    <cellStyle name="Comma 2" xfId="3" xr:uid="{98E59E0B-6909-44A7-ADAB-D9F0536B9BAC}"/>
    <cellStyle name="Normal" xfId="0" builtinId="0"/>
    <cellStyle name="Normal 2" xfId="1" xr:uid="{9A25D6AA-4FFE-4EDA-A0B7-D3E1E9E9811A}"/>
    <cellStyle name="Normal 3" xfId="2" xr:uid="{22BF1570-0047-4490-88C5-68E745D19D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2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 Forecast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'Sales Comparison'!$B$1</c:f>
              <c:strCache>
                <c:ptCount val="1"/>
                <c:pt idx="0">
                  <c:v>2025 EV Forecast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'Sales Comparison'!$A$2:$A$13</c:f>
              <c:numCache>
                <c:formatCode>0_)</c:formatCode>
                <c:ptCount val="12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</c:numCache>
            </c:numRef>
          </c:cat>
          <c:val>
            <c:numRef>
              <c:f>'Sales Comparison'!$B$2:$B$13</c:f>
              <c:numCache>
                <c:formatCode>_(* #,##0_);_(* \(#,##0\);_(* "-"??_);_(@_)</c:formatCode>
                <c:ptCount val="12"/>
                <c:pt idx="0">
                  <c:v>8332</c:v>
                </c:pt>
                <c:pt idx="1">
                  <c:v>10774.34</c:v>
                </c:pt>
                <c:pt idx="2">
                  <c:v>13783.029999999999</c:v>
                </c:pt>
                <c:pt idx="3">
                  <c:v>17824.86</c:v>
                </c:pt>
                <c:pt idx="4">
                  <c:v>23359.879999999997</c:v>
                </c:pt>
                <c:pt idx="5">
                  <c:v>31111.67</c:v>
                </c:pt>
                <c:pt idx="6">
                  <c:v>42173.09</c:v>
                </c:pt>
                <c:pt idx="7">
                  <c:v>58156.61</c:v>
                </c:pt>
                <c:pt idx="8">
                  <c:v>81464.37</c:v>
                </c:pt>
                <c:pt idx="9">
                  <c:v>115683.26</c:v>
                </c:pt>
                <c:pt idx="10">
                  <c:v>166162.64000000001</c:v>
                </c:pt>
                <c:pt idx="11">
                  <c:v>228512.26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5B-4CDD-BDF1-A51419A3CDF5}"/>
            </c:ext>
          </c:extLst>
        </c:ser>
        <c:ser>
          <c:idx val="1"/>
          <c:order val="1"/>
          <c:tx>
            <c:strRef>
              <c:f>'Sales Comparison'!$C$1</c:f>
              <c:strCache>
                <c:ptCount val="1"/>
                <c:pt idx="0">
                  <c:v>2026 EV Forecast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'Sales Comparison'!$A$2:$A$13</c:f>
              <c:numCache>
                <c:formatCode>0_)</c:formatCode>
                <c:ptCount val="12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</c:numCache>
            </c:numRef>
          </c:cat>
          <c:val>
            <c:numRef>
              <c:f>'Sales Comparison'!$C$2:$C$13</c:f>
              <c:numCache>
                <c:formatCode>_(* #,##0_);_(* \(#,##0\);_(* "-"??_);_(@_)</c:formatCode>
                <c:ptCount val="12"/>
                <c:pt idx="0">
                  <c:v>9600</c:v>
                </c:pt>
                <c:pt idx="1">
                  <c:v>13172.34</c:v>
                </c:pt>
                <c:pt idx="2">
                  <c:v>17844.03</c:v>
                </c:pt>
                <c:pt idx="3">
                  <c:v>24342.86</c:v>
                </c:pt>
                <c:pt idx="4">
                  <c:v>33485.879999999997</c:v>
                </c:pt>
                <c:pt idx="5">
                  <c:v>46569.67</c:v>
                </c:pt>
                <c:pt idx="6">
                  <c:v>65546.09</c:v>
                </c:pt>
                <c:pt idx="7">
                  <c:v>90454.61</c:v>
                </c:pt>
                <c:pt idx="8">
                  <c:v>121388.37</c:v>
                </c:pt>
                <c:pt idx="9">
                  <c:v>158445.25999999998</c:v>
                </c:pt>
                <c:pt idx="10">
                  <c:v>201723.64</c:v>
                </c:pt>
                <c:pt idx="11">
                  <c:v>244533.91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5B-4CDD-BDF1-A51419A3CDF5}"/>
            </c:ext>
          </c:extLst>
        </c:ser>
        <c:ser>
          <c:idx val="2"/>
          <c:order val="2"/>
          <c:tx>
            <c:strRef>
              <c:f>'Sales Comparison'!$D$1</c:f>
              <c:strCache>
                <c:ptCount val="1"/>
                <c:pt idx="0">
                  <c:v>Dunsky EV Low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'Sales Comparison'!$A$2:$A$13</c:f>
              <c:numCache>
                <c:formatCode>0_)</c:formatCode>
                <c:ptCount val="12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</c:numCache>
            </c:numRef>
          </c:cat>
          <c:val>
            <c:numRef>
              <c:f>'Sales Comparison'!$D$2:$D$13</c:f>
              <c:numCache>
                <c:formatCode>_(* #,##0_);_(* \(#,##0\);_(* "-"??_);_(@_)</c:formatCode>
                <c:ptCount val="12"/>
                <c:pt idx="0">
                  <c:v>6300</c:v>
                </c:pt>
                <c:pt idx="1">
                  <c:v>8537.8975088460593</c:v>
                </c:pt>
                <c:pt idx="2">
                  <c:v>11570.745058977738</c:v>
                </c:pt>
                <c:pt idx="3">
                  <c:v>15680.926256276014</c:v>
                </c:pt>
                <c:pt idx="4">
                  <c:v>21251.133526961548</c:v>
                </c:pt>
                <c:pt idx="5">
                  <c:v>28800</c:v>
                </c:pt>
                <c:pt idx="6">
                  <c:v>42476.937913724876</c:v>
                </c:pt>
                <c:pt idx="7">
                  <c:v>62648.967171056873</c:v>
                </c:pt>
                <c:pt idx="8">
                  <c:v>92400.56558624898</c:v>
                </c:pt>
                <c:pt idx="9">
                  <c:v>136281.00998611673</c:v>
                </c:pt>
                <c:pt idx="10">
                  <c:v>201000</c:v>
                </c:pt>
                <c:pt idx="11">
                  <c:v>238015.92557911694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5B-4CDD-BDF1-A51419A3CDF5}"/>
            </c:ext>
          </c:extLst>
        </c:ser>
        <c:ser>
          <c:idx val="3"/>
          <c:order val="3"/>
          <c:tx>
            <c:strRef>
              <c:f>'Sales Comparison'!$E$1</c:f>
              <c:strCache>
                <c:ptCount val="1"/>
                <c:pt idx="0">
                  <c:v>Dunsky EV High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'Sales Comparison'!$A$2:$A$13</c:f>
              <c:numCache>
                <c:formatCode>0_)</c:formatCode>
                <c:ptCount val="12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</c:numCache>
            </c:numRef>
          </c:cat>
          <c:val>
            <c:numRef>
              <c:f>'Sales Comparison'!$E$2:$E$13</c:f>
              <c:numCache>
                <c:formatCode>_(* #,##0_);_(* \(#,##0\);_(* "-"??_);_(@_)</c:formatCode>
                <c:ptCount val="12"/>
                <c:pt idx="0">
                  <c:v>13300</c:v>
                </c:pt>
                <c:pt idx="1">
                  <c:v>19665.585607885128</c:v>
                </c:pt>
                <c:pt idx="2">
                  <c:v>29077.838894816443</c:v>
                </c:pt>
                <c:pt idx="3">
                  <c:v>42994.942111150725</c:v>
                </c:pt>
                <c:pt idx="4">
                  <c:v>63572.986074654131</c:v>
                </c:pt>
                <c:pt idx="5">
                  <c:v>94000</c:v>
                </c:pt>
                <c:pt idx="6">
                  <c:v>120321.37529662345</c:v>
                </c:pt>
                <c:pt idx="7">
                  <c:v>154013.12077947773</c:v>
                </c:pt>
                <c:pt idx="8">
                  <c:v>197139.04793523121</c:v>
                </c:pt>
                <c:pt idx="9">
                  <c:v>252340.86566206376</c:v>
                </c:pt>
                <c:pt idx="10">
                  <c:v>323000</c:v>
                </c:pt>
                <c:pt idx="11">
                  <c:v>361219.93274513929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5B-4CDD-BDF1-A51419A3C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2962799"/>
        <c:axId val="582963279"/>
      </c:lineChart>
      <c:catAx>
        <c:axId val="582962799"/>
        <c:scaling>
          <c:orientation val="minMax"/>
        </c:scaling>
        <c:delete val="0"/>
        <c:axPos val="b"/>
        <c:numFmt formatCode="0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963279"/>
        <c:crosses val="autoZero"/>
        <c:auto val="1"/>
        <c:lblAlgn val="ctr"/>
        <c:lblOffset val="100"/>
        <c:noMultiLvlLbl val="0"/>
      </c:catAx>
      <c:valAx>
        <c:axId val="5829632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9627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316230</xdr:colOff>
      <xdr:row>3</xdr:row>
      <xdr:rowOff>181927</xdr:rowOff>
    </xdr:from>
    <xdr:to>
      <xdr:col>14</xdr:col>
      <xdr:colOff>152400</xdr:colOff>
      <xdr:row>18</xdr:row>
      <xdr:rowOff>67627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B709DE3-05D5-6722-C8C6-843061C332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11771-126A-4A48-B4F5-C575F235852E}">
  <dimension ref="A1:AB22"/>
  <sheetViews>
    <sheetView tabSelected="1" zoomScaleNormal="100" zoomScaleSheetLayoutView="100" workbookViewId="0">
      <selection activeCell="E14" sqref="E14"/>
    </sheetView>
  </sheetViews>
  <sheetFormatPr defaultColWidth="9.21875" defaultRowHeight="15" x14ac:dyDescent="0.25"/>
  <cols>
    <col min="1" max="1" width="9.21875" style="3"/>
    <col min="2" max="2" width="8.88671875" style="3" bestFit="1" customWidth="1"/>
    <col min="3" max="8" width="9.21875" style="3"/>
    <col min="9" max="9" width="8.88671875" style="3" customWidth="1"/>
    <col min="10" max="10" width="10.21875" style="3" bestFit="1" customWidth="1"/>
    <col min="11" max="12" width="9.21875" style="3"/>
    <col min="13" max="14" width="8.21875" style="3" customWidth="1"/>
    <col min="15" max="15" width="9.77734375" style="3" customWidth="1"/>
    <col min="16" max="17" width="9.44140625" style="3" customWidth="1"/>
    <col min="18" max="18" width="12.21875" style="3" customWidth="1"/>
    <col min="19" max="19" width="11.21875" style="3" customWidth="1"/>
    <col min="20" max="20" width="12" style="3" customWidth="1"/>
    <col min="21" max="21" width="9.44140625" style="3" customWidth="1"/>
    <col min="22" max="22" width="9.21875" style="3"/>
    <col min="23" max="23" width="10.5546875" style="3" customWidth="1"/>
    <col min="24" max="24" width="10.21875" style="3" customWidth="1"/>
    <col min="25" max="25" width="9.21875" style="3" customWidth="1"/>
    <col min="26" max="16384" width="9.21875" style="3"/>
  </cols>
  <sheetData>
    <row r="1" spans="1:27" x14ac:dyDescent="0.25">
      <c r="A1" s="1"/>
      <c r="B1" s="2" t="s">
        <v>0</v>
      </c>
      <c r="C1" s="2" t="s">
        <v>1</v>
      </c>
      <c r="D1" s="2" t="s">
        <v>2</v>
      </c>
      <c r="H1" s="2" t="s">
        <v>34</v>
      </c>
      <c r="I1" s="1"/>
      <c r="J1" s="1"/>
      <c r="K1" s="1"/>
      <c r="L1" s="15"/>
      <c r="T1" s="3" t="s">
        <v>3</v>
      </c>
      <c r="U1" s="3" t="s">
        <v>4</v>
      </c>
      <c r="V1" s="3" t="s">
        <v>5</v>
      </c>
      <c r="W1" s="3" t="s">
        <v>6</v>
      </c>
    </row>
    <row r="2" spans="1:27" ht="28.9" customHeight="1" x14ac:dyDescent="0.25">
      <c r="A2" s="2" t="s">
        <v>7</v>
      </c>
      <c r="B2" s="1">
        <v>4202</v>
      </c>
      <c r="C2" s="4">
        <v>0.59600848513735516</v>
      </c>
      <c r="D2" s="4">
        <v>0.74416299417762533</v>
      </c>
      <c r="E2" s="4"/>
      <c r="H2" s="2" t="s">
        <v>8</v>
      </c>
      <c r="I2" s="2" t="s">
        <v>9</v>
      </c>
      <c r="J2" s="2" t="s">
        <v>10</v>
      </c>
      <c r="K2" s="16" t="s">
        <v>11</v>
      </c>
      <c r="L2" s="16" t="s">
        <v>12</v>
      </c>
      <c r="R2" s="23" t="s">
        <v>13</v>
      </c>
      <c r="S2" s="12" t="s">
        <v>14</v>
      </c>
      <c r="T2" s="14">
        <v>0.39</v>
      </c>
      <c r="U2" s="14">
        <v>7.2999999999999995E-2</v>
      </c>
      <c r="V2" s="14">
        <v>2.5000000000000001E-2</v>
      </c>
      <c r="W2" s="14">
        <v>0.109</v>
      </c>
    </row>
    <row r="3" spans="1:27" x14ac:dyDescent="0.25">
      <c r="A3" s="2" t="s">
        <v>15</v>
      </c>
      <c r="B3" s="1">
        <v>8205.4007600745445</v>
      </c>
      <c r="C3" s="4">
        <v>1.6241198523212199</v>
      </c>
      <c r="D3" s="4">
        <v>1.06</v>
      </c>
      <c r="E3" s="4"/>
      <c r="G3" s="18"/>
      <c r="H3" s="1">
        <f>0.6*9600</f>
        <v>5760</v>
      </c>
      <c r="I3" s="1">
        <f>0.4*9600</f>
        <v>3840</v>
      </c>
      <c r="J3" s="1">
        <f>(H3*B2+I3*B5)/1000000</f>
        <v>32.271360000000001</v>
      </c>
      <c r="K3" s="17">
        <f>(H3*C2+I3*C5)/1000</f>
        <v>5.721681457318609</v>
      </c>
      <c r="L3" s="17">
        <f>(H3*D2+I3*D5)/1000</f>
        <v>7.1439647441052028</v>
      </c>
      <c r="R3" s="23"/>
      <c r="S3" s="3" t="s">
        <v>16</v>
      </c>
      <c r="T3" s="14">
        <v>0.5</v>
      </c>
      <c r="U3" s="14">
        <v>4.8000000000000001E-2</v>
      </c>
      <c r="V3" s="14">
        <v>0.03</v>
      </c>
      <c r="W3" s="14">
        <v>0.16600000000000001</v>
      </c>
    </row>
    <row r="4" spans="1:27" x14ac:dyDescent="0.25">
      <c r="A4" s="2" t="s">
        <v>17</v>
      </c>
      <c r="B4" s="1">
        <v>113889.80318653992</v>
      </c>
      <c r="C4" s="4">
        <v>7.3315932190178899</v>
      </c>
      <c r="D4" s="4">
        <v>27.7</v>
      </c>
      <c r="E4" s="4"/>
    </row>
    <row r="5" spans="1:27" x14ac:dyDescent="0.25">
      <c r="A5" s="2" t="s">
        <v>9</v>
      </c>
      <c r="B5" s="1">
        <v>2101</v>
      </c>
      <c r="C5" s="4">
        <v>0.59600848513735516</v>
      </c>
      <c r="D5" s="4">
        <v>0.74416299417762533</v>
      </c>
    </row>
    <row r="6" spans="1:27" x14ac:dyDescent="0.25">
      <c r="A6" s="2"/>
      <c r="B6" s="1"/>
      <c r="C6" s="4"/>
      <c r="D6" s="4"/>
    </row>
    <row r="7" spans="1:27" ht="15.4" customHeight="1" x14ac:dyDescent="0.25">
      <c r="A7" s="22" t="s">
        <v>18</v>
      </c>
      <c r="B7" s="22"/>
      <c r="C7" s="22"/>
      <c r="D7" s="22"/>
      <c r="E7" s="22"/>
      <c r="F7" s="22"/>
      <c r="R7" s="3" t="s">
        <v>19</v>
      </c>
      <c r="V7" s="3" t="s">
        <v>20</v>
      </c>
      <c r="Y7" s="3" t="s">
        <v>21</v>
      </c>
    </row>
    <row r="8" spans="1:27" ht="39" x14ac:dyDescent="0.25">
      <c r="A8" s="5" t="s">
        <v>22</v>
      </c>
      <c r="B8" s="5" t="s">
        <v>23</v>
      </c>
      <c r="C8" s="5" t="s">
        <v>24</v>
      </c>
      <c r="D8" s="5" t="s">
        <v>15</v>
      </c>
      <c r="E8" s="5" t="s">
        <v>25</v>
      </c>
      <c r="F8" s="11" t="s">
        <v>26</v>
      </c>
      <c r="G8" s="6" t="s">
        <v>27</v>
      </c>
      <c r="H8" s="5" t="s">
        <v>10</v>
      </c>
      <c r="I8" s="6" t="s">
        <v>28</v>
      </c>
      <c r="J8" s="5" t="s">
        <v>36</v>
      </c>
      <c r="K8" s="6" t="s">
        <v>29</v>
      </c>
      <c r="L8" s="6" t="s">
        <v>35</v>
      </c>
      <c r="M8" s="16"/>
      <c r="N8" s="6" t="s">
        <v>38</v>
      </c>
      <c r="O8" s="6" t="s">
        <v>37</v>
      </c>
      <c r="P8" s="16"/>
      <c r="Q8" s="5"/>
      <c r="R8" s="6" t="s">
        <v>30</v>
      </c>
      <c r="S8" s="6" t="s">
        <v>31</v>
      </c>
      <c r="T8" s="6" t="s">
        <v>32</v>
      </c>
      <c r="U8" s="6"/>
      <c r="V8" s="6" t="s">
        <v>30</v>
      </c>
      <c r="W8" s="6" t="s">
        <v>33</v>
      </c>
      <c r="X8" s="6" t="s">
        <v>32</v>
      </c>
      <c r="Y8" s="6" t="s">
        <v>30</v>
      </c>
      <c r="Z8" s="6" t="s">
        <v>33</v>
      </c>
      <c r="AA8" s="6" t="s">
        <v>32</v>
      </c>
    </row>
    <row r="9" spans="1:27" x14ac:dyDescent="0.25">
      <c r="A9" s="1">
        <v>2026</v>
      </c>
      <c r="B9" s="7">
        <v>1800</v>
      </c>
      <c r="C9" s="7">
        <v>1473</v>
      </c>
      <c r="D9" s="1">
        <v>214.90000000000003</v>
      </c>
      <c r="E9" s="1">
        <v>84.44</v>
      </c>
      <c r="F9" s="7">
        <f>SUM(B9:E9)</f>
        <v>3572.34</v>
      </c>
      <c r="G9" s="7">
        <f>F9+$H$3+$I$3</f>
        <v>13172.34</v>
      </c>
      <c r="H9" s="7">
        <f t="shared" ref="H9:H19" si="0">(B9*$B$2+C9*$B$5+D9*$B$3+E9*$B$4)/1000000</f>
        <v>22.038568604411452</v>
      </c>
      <c r="I9" s="10">
        <f>H9+$J$3</f>
        <v>54.309928604411454</v>
      </c>
      <c r="J9" s="8">
        <f t="shared" ref="J9:J19" si="1">(B9+C9)*$C$2/1000+D9*$C$3/1000+E9*$C$4/1000</f>
        <v>2.9188388595322641</v>
      </c>
      <c r="K9" s="4">
        <f t="shared" ref="K9:K19" si="2">J9/F9*1000</f>
        <v>0.81706636533260102</v>
      </c>
      <c r="L9" s="1">
        <f>J9+$K$3</f>
        <v>8.6405203168508731</v>
      </c>
      <c r="M9" s="1"/>
      <c r="N9" s="9">
        <f t="shared" ref="N9:N19" si="3">(B9+C9)*$D$2/1000+D9*$D$3/1000+E9*$D$4/1000</f>
        <v>5.0024274799433677</v>
      </c>
      <c r="O9" s="1">
        <f>N9+$L$3</f>
        <v>12.14639222404857</v>
      </c>
      <c r="P9" s="1"/>
      <c r="R9" s="13">
        <f t="shared" ref="R9:R19" si="4">0.75*(B9*$B$2+C9*$B$2*0.5)/1000000</f>
        <v>7.9937797499999999</v>
      </c>
      <c r="S9" s="13">
        <f t="shared" ref="S9:S19" si="5">0.25*(B9*$B$2+C9*$B$2*0.5)/1000000</f>
        <v>2.6645932499999998</v>
      </c>
      <c r="T9" s="13">
        <f t="shared" ref="T9:T19" si="6">(D9*$B$3+E9*$B$4)/1000000</f>
        <v>11.380195604411451</v>
      </c>
      <c r="U9" s="13"/>
      <c r="V9" s="13">
        <f t="shared" ref="V9:V19" si="7">(B9+C9)*$T$2/1000</f>
        <v>1.27647</v>
      </c>
      <c r="W9" s="13">
        <f t="shared" ref="W9:W19" si="8">(B9+C9)*($U$2+$V$2+$W$2)/1000</f>
        <v>0.67751100000000009</v>
      </c>
      <c r="X9" s="13">
        <f t="shared" ref="X9:X19" si="9">D9*$C$3/1000+E9*$C$4/1000</f>
        <v>0.96810308767770081</v>
      </c>
      <c r="Y9" s="13">
        <f t="shared" ref="Y9:Y19" si="10">(B9+C9)*$T$3/1000</f>
        <v>1.6365000000000001</v>
      </c>
      <c r="Z9" s="13">
        <f t="shared" ref="Z9:Z19" si="11">(B9+C9)*($U$3+$V$3+$W$3)/1000</f>
        <v>0.79861199999999999</v>
      </c>
      <c r="AA9" s="13">
        <f t="shared" ref="AA9:AA19" si="12">D9*$D$3/1000+E9*$D$4/1000</f>
        <v>2.5667819999999999</v>
      </c>
    </row>
    <row r="10" spans="1:27" x14ac:dyDescent="0.25">
      <c r="A10" s="1">
        <f t="shared" ref="A10:A19" si="13">A9+1</f>
        <v>2027</v>
      </c>
      <c r="B10" s="7">
        <v>4481</v>
      </c>
      <c r="C10" s="7">
        <v>3260</v>
      </c>
      <c r="D10" s="1">
        <v>336.229999999999</v>
      </c>
      <c r="E10" s="1">
        <v>166.8</v>
      </c>
      <c r="F10" s="7">
        <f t="shared" ref="F10:F19" si="14">SUM(B10:E10)</f>
        <v>8244.0299999999988</v>
      </c>
      <c r="G10" s="7">
        <f t="shared" ref="G10:G19" si="15">F10+$H$3+$I$3</f>
        <v>17844.03</v>
      </c>
      <c r="H10" s="7">
        <f t="shared" si="0"/>
        <v>47.434143069074722</v>
      </c>
      <c r="I10" s="10">
        <f t="shared" ref="I10:I19" si="16">H10+$J$3</f>
        <v>79.705503069074723</v>
      </c>
      <c r="J10" s="8">
        <f t="shared" si="1"/>
        <v>6.382689250326413</v>
      </c>
      <c r="K10" s="4">
        <f t="shared" si="2"/>
        <v>0.77421955649438612</v>
      </c>
      <c r="L10" s="1">
        <f t="shared" ref="L10:L19" si="17">J10+$K$3</f>
        <v>12.104370707645021</v>
      </c>
      <c r="M10" s="1"/>
      <c r="N10" s="9">
        <f t="shared" si="3"/>
        <v>10.737329537928996</v>
      </c>
      <c r="O10" s="1">
        <f t="shared" ref="O10:O19" si="18">N10+$L$3</f>
        <v>17.881294282034197</v>
      </c>
      <c r="P10" s="1"/>
      <c r="R10" s="13">
        <f t="shared" si="4"/>
        <v>19.258816499999998</v>
      </c>
      <c r="S10" s="13">
        <f t="shared" si="5"/>
        <v>6.4196055000000003</v>
      </c>
      <c r="T10" s="13">
        <f t="shared" si="6"/>
        <v>21.755721069074717</v>
      </c>
      <c r="U10" s="13"/>
      <c r="V10" s="13">
        <f t="shared" si="7"/>
        <v>3.0189900000000001</v>
      </c>
      <c r="W10" s="13">
        <f t="shared" si="8"/>
        <v>1.6023870000000002</v>
      </c>
      <c r="X10" s="13">
        <f t="shared" si="9"/>
        <v>1.7689875668781463</v>
      </c>
      <c r="Y10" s="13">
        <f t="shared" si="10"/>
        <v>3.8704999999999998</v>
      </c>
      <c r="Z10" s="13">
        <f t="shared" si="11"/>
        <v>1.8888039999999999</v>
      </c>
      <c r="AA10" s="13">
        <f t="shared" si="12"/>
        <v>4.9767637999999996</v>
      </c>
    </row>
    <row r="11" spans="1:27" x14ac:dyDescent="0.25">
      <c r="A11" s="1">
        <f t="shared" si="13"/>
        <v>2028</v>
      </c>
      <c r="B11" s="7">
        <v>8542</v>
      </c>
      <c r="C11" s="7">
        <v>5447</v>
      </c>
      <c r="D11" s="1">
        <v>474.52</v>
      </c>
      <c r="E11" s="1">
        <v>279.33999999999901</v>
      </c>
      <c r="F11" s="7">
        <f t="shared" si="14"/>
        <v>14742.859999999999</v>
      </c>
      <c r="G11" s="7">
        <f t="shared" si="15"/>
        <v>24342.86</v>
      </c>
      <c r="H11" s="7">
        <f t="shared" si="0"/>
        <v>83.045235390798524</v>
      </c>
      <c r="I11" s="10">
        <f t="shared" si="16"/>
        <v>115.31659539079853</v>
      </c>
      <c r="J11" s="8">
        <f t="shared" si="1"/>
        <v>11.156247300710378</v>
      </c>
      <c r="K11" s="4">
        <f t="shared" si="2"/>
        <v>0.75672205397801917</v>
      </c>
      <c r="L11" s="1">
        <f t="shared" si="17"/>
        <v>16.877928758028986</v>
      </c>
      <c r="M11" s="1"/>
      <c r="N11" s="9">
        <f t="shared" si="3"/>
        <v>18.650805325550774</v>
      </c>
      <c r="O11" s="1">
        <f t="shared" si="18"/>
        <v>25.794770069655975</v>
      </c>
      <c r="P11" s="1"/>
      <c r="R11" s="13">
        <f t="shared" si="4"/>
        <v>35.503223249999998</v>
      </c>
      <c r="S11" s="13">
        <f t="shared" si="5"/>
        <v>11.83440775</v>
      </c>
      <c r="T11" s="13">
        <f t="shared" si="6"/>
        <v>35.707604390798522</v>
      </c>
      <c r="U11" s="13"/>
      <c r="V11" s="13">
        <f t="shared" si="7"/>
        <v>5.4557099999999998</v>
      </c>
      <c r="W11" s="13">
        <f t="shared" si="8"/>
        <v>2.8957230000000003</v>
      </c>
      <c r="X11" s="13">
        <f t="shared" si="9"/>
        <v>2.8186846021239154</v>
      </c>
      <c r="Y11" s="13">
        <f t="shared" si="10"/>
        <v>6.9945000000000004</v>
      </c>
      <c r="Z11" s="13">
        <f t="shared" si="11"/>
        <v>3.413316</v>
      </c>
      <c r="AA11" s="13">
        <f t="shared" si="12"/>
        <v>8.2407091999999729</v>
      </c>
    </row>
    <row r="12" spans="1:27" x14ac:dyDescent="0.25">
      <c r="A12" s="1">
        <f t="shared" si="13"/>
        <v>2029</v>
      </c>
      <c r="B12" s="7">
        <v>14752</v>
      </c>
      <c r="C12" s="7">
        <v>8108</v>
      </c>
      <c r="D12" s="1">
        <v>629.43999999999903</v>
      </c>
      <c r="E12" s="1">
        <v>396.44000000000005</v>
      </c>
      <c r="F12" s="7">
        <f t="shared" si="14"/>
        <v>23885.879999999997</v>
      </c>
      <c r="G12" s="7">
        <f t="shared" si="15"/>
        <v>33485.879999999997</v>
      </c>
      <c r="H12" s="7">
        <f t="shared" si="0"/>
        <v>129.33809302969323</v>
      </c>
      <c r="I12" s="10">
        <f t="shared" si="16"/>
        <v>161.60945302969321</v>
      </c>
      <c r="J12" s="8">
        <f t="shared" si="1"/>
        <v>17.553576785832458</v>
      </c>
      <c r="K12" s="4">
        <f t="shared" si="2"/>
        <v>0.73489345110301407</v>
      </c>
      <c r="L12" s="1">
        <f t="shared" si="17"/>
        <v>23.275258243151068</v>
      </c>
      <c r="M12" s="1"/>
      <c r="N12" s="9">
        <f t="shared" si="3"/>
        <v>28.660160446900512</v>
      </c>
      <c r="O12" s="1">
        <f t="shared" si="18"/>
        <v>35.804125191005717</v>
      </c>
      <c r="P12" s="1"/>
      <c r="R12" s="13">
        <f t="shared" si="4"/>
        <v>59.267108999999998</v>
      </c>
      <c r="S12" s="13">
        <f t="shared" si="5"/>
        <v>19.755703</v>
      </c>
      <c r="T12" s="13">
        <f t="shared" si="6"/>
        <v>50.31528102969321</v>
      </c>
      <c r="U12" s="13"/>
      <c r="V12" s="13">
        <f t="shared" si="7"/>
        <v>8.9154</v>
      </c>
      <c r="W12" s="13">
        <f t="shared" si="8"/>
        <v>4.7320200000000003</v>
      </c>
      <c r="X12" s="13">
        <f t="shared" si="9"/>
        <v>3.92882281559252</v>
      </c>
      <c r="Y12" s="13">
        <f t="shared" si="10"/>
        <v>11.43</v>
      </c>
      <c r="Z12" s="13">
        <f t="shared" si="11"/>
        <v>5.5778400000000001</v>
      </c>
      <c r="AA12" s="13">
        <f t="shared" si="12"/>
        <v>11.6485944</v>
      </c>
    </row>
    <row r="13" spans="1:27" x14ac:dyDescent="0.25">
      <c r="A13" s="1">
        <f t="shared" si="13"/>
        <v>2030</v>
      </c>
      <c r="B13" s="7">
        <v>24345</v>
      </c>
      <c r="C13" s="7">
        <v>11306</v>
      </c>
      <c r="D13" s="1">
        <v>800.39</v>
      </c>
      <c r="E13" s="1">
        <v>518.28</v>
      </c>
      <c r="F13" s="7">
        <f t="shared" si="14"/>
        <v>36969.67</v>
      </c>
      <c r="G13" s="7">
        <f t="shared" si="15"/>
        <v>46569.67</v>
      </c>
      <c r="H13" s="7">
        <f t="shared" si="0"/>
        <v>191.64592390987599</v>
      </c>
      <c r="I13" s="10">
        <f t="shared" si="16"/>
        <v>223.91728390987601</v>
      </c>
      <c r="J13" s="8">
        <f t="shared" si="1"/>
        <v>26.348045925783822</v>
      </c>
      <c r="K13" s="4">
        <f t="shared" si="2"/>
        <v>0.71269356544929463</v>
      </c>
      <c r="L13" s="1">
        <f t="shared" si="17"/>
        <v>32.069727383102432</v>
      </c>
      <c r="M13" s="1"/>
      <c r="N13" s="9">
        <f t="shared" si="3"/>
        <v>41.734924305426517</v>
      </c>
      <c r="O13" s="1">
        <f t="shared" si="18"/>
        <v>48.878889049531722</v>
      </c>
      <c r="P13" s="1"/>
      <c r="R13" s="13">
        <f t="shared" si="4"/>
        <v>94.538696999999999</v>
      </c>
      <c r="S13" s="13">
        <f t="shared" si="5"/>
        <v>31.512899000000001</v>
      </c>
      <c r="T13" s="13">
        <f t="shared" si="6"/>
        <v>65.594327909875972</v>
      </c>
      <c r="U13" s="13"/>
      <c r="V13" s="13">
        <f t="shared" si="7"/>
        <v>13.903890000000001</v>
      </c>
      <c r="W13" s="13">
        <f t="shared" si="8"/>
        <v>7.3797570000000006</v>
      </c>
      <c r="X13" s="13">
        <f t="shared" si="9"/>
        <v>5.0997474221519727</v>
      </c>
      <c r="Y13" s="13">
        <f t="shared" si="10"/>
        <v>17.825500000000002</v>
      </c>
      <c r="Z13" s="13">
        <f t="shared" si="11"/>
        <v>8.6988439999999994</v>
      </c>
      <c r="AA13" s="13">
        <f t="shared" si="12"/>
        <v>15.2047694</v>
      </c>
    </row>
    <row r="14" spans="1:27" x14ac:dyDescent="0.25">
      <c r="A14" s="1">
        <f t="shared" si="13"/>
        <v>2031</v>
      </c>
      <c r="B14" s="7">
        <v>38611</v>
      </c>
      <c r="C14" s="7">
        <v>15689</v>
      </c>
      <c r="D14" s="1">
        <v>1006.1399999999999</v>
      </c>
      <c r="E14" s="1">
        <v>639.94999999999902</v>
      </c>
      <c r="F14" s="7">
        <f t="shared" si="14"/>
        <v>55946.09</v>
      </c>
      <c r="G14" s="7">
        <f t="shared" si="15"/>
        <v>65546.09</v>
      </c>
      <c r="H14" s="7">
        <f t="shared" si="0"/>
        <v>276.34557246996752</v>
      </c>
      <c r="I14" s="10">
        <f t="shared" si="16"/>
        <v>308.61693246996754</v>
      </c>
      <c r="J14" s="8">
        <f t="shared" si="1"/>
        <v>38.689205771683341</v>
      </c>
      <c r="K14" s="4">
        <f t="shared" si="2"/>
        <v>0.69154440947854168</v>
      </c>
      <c r="L14" s="1">
        <f t="shared" si="17"/>
        <v>44.410887229001951</v>
      </c>
      <c r="M14" s="1"/>
      <c r="N14" s="9">
        <f t="shared" si="3"/>
        <v>59.201173983845031</v>
      </c>
      <c r="O14" s="1">
        <f t="shared" si="18"/>
        <v>66.345138727950228</v>
      </c>
      <c r="P14" s="1"/>
      <c r="R14" s="13">
        <f t="shared" si="4"/>
        <v>146.40450824999999</v>
      </c>
      <c r="S14" s="13">
        <f t="shared" si="5"/>
        <v>48.801502749999997</v>
      </c>
      <c r="T14" s="13">
        <f t="shared" si="6"/>
        <v>81.139561469967518</v>
      </c>
      <c r="U14" s="13"/>
      <c r="V14" s="13">
        <f t="shared" si="7"/>
        <v>21.177</v>
      </c>
      <c r="W14" s="13">
        <f t="shared" si="8"/>
        <v>11.2401</v>
      </c>
      <c r="X14" s="13">
        <f t="shared" si="9"/>
        <v>6.3259450287249628</v>
      </c>
      <c r="Y14" s="13">
        <f t="shared" si="10"/>
        <v>27.15</v>
      </c>
      <c r="Z14" s="13">
        <f t="shared" si="11"/>
        <v>13.249199999999998</v>
      </c>
      <c r="AA14" s="13">
        <f t="shared" si="12"/>
        <v>18.793123399999974</v>
      </c>
    </row>
    <row r="15" spans="1:27" x14ac:dyDescent="0.25">
      <c r="A15" s="1">
        <f t="shared" si="13"/>
        <v>2032</v>
      </c>
      <c r="B15" s="7">
        <v>57757</v>
      </c>
      <c r="C15" s="7">
        <v>21089</v>
      </c>
      <c r="D15" s="1">
        <v>1244.83</v>
      </c>
      <c r="E15" s="1">
        <v>763.78</v>
      </c>
      <c r="F15" s="7">
        <f t="shared" si="14"/>
        <v>80854.61</v>
      </c>
      <c r="G15" s="7">
        <f t="shared" si="15"/>
        <v>90454.61</v>
      </c>
      <c r="H15" s="7">
        <f t="shared" si="0"/>
        <v>384.20398590597904</v>
      </c>
      <c r="I15" s="10">
        <f t="shared" si="16"/>
        <v>416.47534590597905</v>
      </c>
      <c r="J15" s="8">
        <f t="shared" si="1"/>
        <v>54.61436240372641</v>
      </c>
      <c r="K15" s="4">
        <f t="shared" si="2"/>
        <v>0.67546380353237012</v>
      </c>
      <c r="L15" s="1">
        <f t="shared" si="17"/>
        <v>60.33604386104502</v>
      </c>
      <c r="M15" s="1"/>
      <c r="N15" s="9">
        <f t="shared" si="3"/>
        <v>81.150501238929053</v>
      </c>
      <c r="O15" s="1">
        <f t="shared" si="18"/>
        <v>88.294465983034257</v>
      </c>
      <c r="P15" s="1"/>
      <c r="R15" s="13">
        <f t="shared" si="4"/>
        <v>215.25217724999999</v>
      </c>
      <c r="S15" s="13">
        <f t="shared" si="5"/>
        <v>71.750725750000001</v>
      </c>
      <c r="T15" s="13">
        <f t="shared" si="6"/>
        <v>97.20108290597905</v>
      </c>
      <c r="U15" s="13"/>
      <c r="V15" s="13">
        <f t="shared" si="7"/>
        <v>30.749940000000002</v>
      </c>
      <c r="W15" s="13">
        <f t="shared" si="8"/>
        <v>16.321122000000003</v>
      </c>
      <c r="X15" s="13">
        <f t="shared" si="9"/>
        <v>7.6214773845865071</v>
      </c>
      <c r="Y15" s="13">
        <f t="shared" si="10"/>
        <v>39.423000000000002</v>
      </c>
      <c r="Z15" s="13">
        <f t="shared" si="11"/>
        <v>19.238423999999998</v>
      </c>
      <c r="AA15" s="13">
        <f t="shared" si="12"/>
        <v>22.476225800000002</v>
      </c>
    </row>
    <row r="16" spans="1:27" x14ac:dyDescent="0.25">
      <c r="A16" s="1">
        <f t="shared" si="13"/>
        <v>2033</v>
      </c>
      <c r="B16" s="7">
        <v>82032</v>
      </c>
      <c r="C16" s="7">
        <v>27349</v>
      </c>
      <c r="D16" s="1">
        <v>1514.79</v>
      </c>
      <c r="E16" s="1">
        <v>892.57999999999902</v>
      </c>
      <c r="F16" s="7">
        <f t="shared" si="14"/>
        <v>111788.37</v>
      </c>
      <c r="G16" s="7">
        <f t="shared" si="15"/>
        <v>121388.37</v>
      </c>
      <c r="H16" s="7">
        <f t="shared" si="0"/>
        <v>516.24393254559504</v>
      </c>
      <c r="I16" s="10">
        <f t="shared" si="16"/>
        <v>548.515292545595</v>
      </c>
      <c r="J16" s="8">
        <f t="shared" si="1"/>
        <v>74.196238099337677</v>
      </c>
      <c r="K16" s="4">
        <f t="shared" si="2"/>
        <v>0.6637205471314922</v>
      </c>
      <c r="L16" s="1">
        <f t="shared" si="17"/>
        <v>79.917919556656287</v>
      </c>
      <c r="M16" s="1"/>
      <c r="N16" s="9">
        <f t="shared" si="3"/>
        <v>107.72743586614283</v>
      </c>
      <c r="O16" s="1">
        <f t="shared" si="18"/>
        <v>114.87140061024803</v>
      </c>
      <c r="P16" s="1"/>
      <c r="R16" s="13">
        <f t="shared" si="4"/>
        <v>301.61903475000003</v>
      </c>
      <c r="S16" s="13">
        <f t="shared" si="5"/>
        <v>100.53967824999999</v>
      </c>
      <c r="T16" s="13">
        <f t="shared" si="6"/>
        <v>114.08521954559502</v>
      </c>
      <c r="U16" s="13"/>
      <c r="V16" s="13">
        <f t="shared" si="7"/>
        <v>42.658590000000004</v>
      </c>
      <c r="W16" s="13">
        <f t="shared" si="8"/>
        <v>22.641867000000001</v>
      </c>
      <c r="X16" s="13">
        <f t="shared" si="9"/>
        <v>9.0042339865286412</v>
      </c>
      <c r="Y16" s="13">
        <f t="shared" si="10"/>
        <v>54.6905</v>
      </c>
      <c r="Z16" s="13">
        <f t="shared" si="11"/>
        <v>26.688963999999999</v>
      </c>
      <c r="AA16" s="13">
        <f t="shared" si="12"/>
        <v>26.330143399999972</v>
      </c>
    </row>
    <row r="17" spans="1:28" x14ac:dyDescent="0.25">
      <c r="A17" s="1">
        <f t="shared" si="13"/>
        <v>2034</v>
      </c>
      <c r="B17" s="7">
        <v>111694</v>
      </c>
      <c r="C17" s="7">
        <v>34307</v>
      </c>
      <c r="D17" s="1">
        <v>1816.50999999999</v>
      </c>
      <c r="E17" s="1">
        <v>1027.75</v>
      </c>
      <c r="F17" s="7">
        <f t="shared" si="14"/>
        <v>148845.25999999998</v>
      </c>
      <c r="G17" s="7">
        <f t="shared" si="15"/>
        <v>158445.25999999998</v>
      </c>
      <c r="H17" s="7">
        <f t="shared" si="0"/>
        <v>673.37263275964926</v>
      </c>
      <c r="I17" s="10">
        <f t="shared" si="16"/>
        <v>705.64399275964922</v>
      </c>
      <c r="J17" s="8">
        <f t="shared" si="1"/>
        <v>97.503109722324638</v>
      </c>
      <c r="K17" s="4">
        <f t="shared" si="2"/>
        <v>0.65506358564810629</v>
      </c>
      <c r="L17" s="1">
        <f t="shared" si="17"/>
        <v>103.22479117964325</v>
      </c>
      <c r="M17" s="1"/>
      <c r="N17" s="9">
        <f t="shared" si="3"/>
        <v>139.04271691292746</v>
      </c>
      <c r="O17" s="1">
        <f t="shared" si="18"/>
        <v>146.18668165703266</v>
      </c>
      <c r="P17" s="1"/>
      <c r="R17" s="13">
        <f t="shared" si="4"/>
        <v>406.06289624999999</v>
      </c>
      <c r="S17" s="13">
        <f t="shared" si="5"/>
        <v>135.35429875</v>
      </c>
      <c r="T17" s="13">
        <f t="shared" si="6"/>
        <v>131.95543775964933</v>
      </c>
      <c r="U17" s="13"/>
      <c r="V17" s="13">
        <f t="shared" si="7"/>
        <v>56.940390000000001</v>
      </c>
      <c r="W17" s="13">
        <f t="shared" si="8"/>
        <v>30.222207000000001</v>
      </c>
      <c r="X17" s="13">
        <f t="shared" si="9"/>
        <v>10.485274883785639</v>
      </c>
      <c r="Y17" s="13">
        <f t="shared" si="10"/>
        <v>73.000500000000002</v>
      </c>
      <c r="Z17" s="13">
        <f t="shared" si="11"/>
        <v>35.624243999999997</v>
      </c>
      <c r="AA17" s="13">
        <f t="shared" si="12"/>
        <v>30.394175599999986</v>
      </c>
    </row>
    <row r="18" spans="1:28" x14ac:dyDescent="0.25">
      <c r="A18" s="1">
        <f t="shared" si="13"/>
        <v>2035</v>
      </c>
      <c r="B18" s="7">
        <v>147003</v>
      </c>
      <c r="C18" s="7">
        <v>41797</v>
      </c>
      <c r="D18" s="1">
        <v>2156.3799999999901</v>
      </c>
      <c r="E18" s="1">
        <v>1167.26</v>
      </c>
      <c r="F18" s="7">
        <f t="shared" si="14"/>
        <v>192123.64</v>
      </c>
      <c r="G18" s="7">
        <f t="shared" si="15"/>
        <v>201723.64</v>
      </c>
      <c r="H18" s="7">
        <f t="shared" si="0"/>
        <v>856.15507675853019</v>
      </c>
      <c r="I18" s="10">
        <f t="shared" si="16"/>
        <v>888.42643675853014</v>
      </c>
      <c r="J18" s="8">
        <f t="shared" si="1"/>
        <v>124.58649706191188</v>
      </c>
      <c r="K18" s="4">
        <f t="shared" si="2"/>
        <v>0.64847041760145641</v>
      </c>
      <c r="L18" s="1">
        <f t="shared" si="17"/>
        <v>130.30817851923049</v>
      </c>
      <c r="M18" s="1"/>
      <c r="N18" s="9">
        <f t="shared" si="3"/>
        <v>175.11683810073566</v>
      </c>
      <c r="O18" s="1">
        <f t="shared" si="18"/>
        <v>182.26080284484087</v>
      </c>
      <c r="P18" s="1"/>
      <c r="R18" s="13">
        <f t="shared" si="4"/>
        <v>529.14157724999995</v>
      </c>
      <c r="S18" s="13">
        <f t="shared" si="5"/>
        <v>176.38052575</v>
      </c>
      <c r="T18" s="13">
        <f t="shared" si="6"/>
        <v>150.63297375853006</v>
      </c>
      <c r="U18" s="13"/>
      <c r="V18" s="13">
        <f t="shared" si="7"/>
        <v>73.632000000000005</v>
      </c>
      <c r="W18" s="13">
        <f t="shared" si="8"/>
        <v>39.081600000000009</v>
      </c>
      <c r="X18" s="13">
        <f t="shared" si="9"/>
        <v>12.060095067979237</v>
      </c>
      <c r="Y18" s="13">
        <f t="shared" si="10"/>
        <v>94.4</v>
      </c>
      <c r="Z18" s="13">
        <f t="shared" si="11"/>
        <v>46.0672</v>
      </c>
      <c r="AA18" s="13">
        <f t="shared" si="12"/>
        <v>34.618864799999983</v>
      </c>
    </row>
    <row r="19" spans="1:28" x14ac:dyDescent="0.25">
      <c r="A19" s="1">
        <f t="shared" si="13"/>
        <v>2036</v>
      </c>
      <c r="B19" s="7">
        <v>183230</v>
      </c>
      <c r="C19" s="7">
        <v>47849.25</v>
      </c>
      <c r="D19" s="1">
        <v>2549.16</v>
      </c>
      <c r="E19" s="1">
        <v>1305.5</v>
      </c>
      <c r="F19" s="7">
        <f t="shared" si="14"/>
        <v>234933.91</v>
      </c>
      <c r="G19" s="7">
        <f t="shared" si="15"/>
        <v>244533.91</v>
      </c>
      <c r="H19" s="7">
        <f t="shared" si="0"/>
        <v>1040.0637517115795</v>
      </c>
      <c r="I19" s="10">
        <f t="shared" si="16"/>
        <v>1072.3351117115794</v>
      </c>
      <c r="J19" s="8">
        <f t="shared" si="1"/>
        <v>151.43673004934718</v>
      </c>
      <c r="K19" s="4">
        <f t="shared" si="2"/>
        <v>0.64459289869796643</v>
      </c>
      <c r="L19" s="1">
        <f t="shared" si="17"/>
        <v>157.15841150666577</v>
      </c>
      <c r="M19" s="1"/>
      <c r="N19" s="9">
        <f t="shared" si="3"/>
        <v>210.82508617232003</v>
      </c>
      <c r="O19" s="1">
        <f t="shared" si="18"/>
        <v>217.96905091642523</v>
      </c>
      <c r="P19" s="1"/>
      <c r="R19" s="13">
        <f t="shared" si="4"/>
        <v>652.84780068750001</v>
      </c>
      <c r="S19" s="13">
        <f t="shared" si="5"/>
        <v>217.6159335625</v>
      </c>
      <c r="T19" s="13">
        <f t="shared" si="6"/>
        <v>169.60001746157951</v>
      </c>
      <c r="U19" s="13"/>
      <c r="V19" s="13">
        <f t="shared" si="7"/>
        <v>90.120907500000001</v>
      </c>
      <c r="W19" s="13">
        <f t="shared" si="8"/>
        <v>47.83340475</v>
      </c>
      <c r="X19" s="13">
        <f t="shared" si="9"/>
        <v>13.711536310171018</v>
      </c>
      <c r="Y19" s="13">
        <f t="shared" si="10"/>
        <v>115.539625</v>
      </c>
      <c r="Z19" s="13">
        <f t="shared" si="11"/>
        <v>56.383336999999997</v>
      </c>
      <c r="AA19" s="13">
        <f t="shared" si="12"/>
        <v>38.864459599999996</v>
      </c>
    </row>
    <row r="20" spans="1:28" x14ac:dyDescent="0.25">
      <c r="A20" s="1"/>
      <c r="B20" s="7"/>
      <c r="C20" s="7"/>
      <c r="D20" s="1"/>
      <c r="E20" s="1"/>
      <c r="F20" s="7"/>
      <c r="G20" s="7"/>
      <c r="H20" s="7"/>
      <c r="I20" s="10"/>
      <c r="J20" s="10"/>
      <c r="K20" s="8"/>
      <c r="L20" s="4"/>
      <c r="M20" s="1"/>
      <c r="N20" s="1"/>
      <c r="O20" s="9"/>
      <c r="P20" s="1"/>
      <c r="Q20" s="1"/>
      <c r="S20" s="13"/>
      <c r="T20" s="13"/>
      <c r="U20" s="13"/>
      <c r="V20" s="13"/>
      <c r="W20" s="13"/>
      <c r="X20" s="13"/>
      <c r="Y20" s="13"/>
      <c r="Z20" s="13"/>
      <c r="AA20" s="13"/>
      <c r="AB20" s="13"/>
    </row>
    <row r="21" spans="1:28" x14ac:dyDescent="0.25">
      <c r="A21" s="1"/>
      <c r="B21" s="7"/>
      <c r="C21" s="7"/>
      <c r="D21" s="1"/>
      <c r="E21" s="1"/>
      <c r="F21" s="7"/>
      <c r="G21" s="7"/>
      <c r="H21" s="7"/>
      <c r="I21" s="10"/>
      <c r="J21" s="10"/>
      <c r="K21" s="8"/>
      <c r="L21" s="4"/>
      <c r="M21" s="1"/>
      <c r="N21" s="1"/>
      <c r="O21" s="9"/>
      <c r="P21" s="1"/>
      <c r="Q21" s="1"/>
      <c r="S21" s="13"/>
      <c r="T21" s="13"/>
      <c r="U21" s="13"/>
      <c r="V21" s="13"/>
      <c r="W21" s="13"/>
      <c r="X21" s="13"/>
      <c r="Y21" s="13"/>
      <c r="Z21" s="13"/>
      <c r="AA21" s="13"/>
      <c r="AB21" s="13"/>
    </row>
    <row r="22" spans="1:28" x14ac:dyDescent="0.25">
      <c r="A22" s="1"/>
    </row>
  </sheetData>
  <mergeCells count="2">
    <mergeCell ref="A7:F7"/>
    <mergeCell ref="R2:R3"/>
  </mergeCells>
  <pageMargins left="0.7" right="0.7" top="0.75" bottom="0.75" header="0.3" footer="0.3"/>
  <pageSetup paperSize="3" scale="90" fitToHeight="0" orientation="landscape" r:id="rId1"/>
  <colBreaks count="1" manualBreakCount="1">
    <brk id="17" max="2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8C8BC-6623-4761-BB7E-D629243F848F}">
  <dimension ref="A1:E13"/>
  <sheetViews>
    <sheetView workbookViewId="0">
      <selection activeCell="B37" sqref="B37"/>
    </sheetView>
  </sheetViews>
  <sheetFormatPr defaultRowHeight="15" x14ac:dyDescent="0.2"/>
  <cols>
    <col min="2" max="3" width="15.33203125" bestFit="1" customWidth="1"/>
    <col min="4" max="4" width="13.33203125" bestFit="1" customWidth="1"/>
    <col min="5" max="5" width="13.6640625" bestFit="1" customWidth="1"/>
  </cols>
  <sheetData>
    <row r="1" spans="1:5" x14ac:dyDescent="0.2">
      <c r="B1" t="s">
        <v>39</v>
      </c>
      <c r="C1" t="s">
        <v>42</v>
      </c>
      <c r="D1" t="s">
        <v>40</v>
      </c>
      <c r="E1" t="s">
        <v>41</v>
      </c>
    </row>
    <row r="2" spans="1:5" x14ac:dyDescent="0.2">
      <c r="A2" s="19">
        <v>2025</v>
      </c>
      <c r="B2" s="20">
        <v>8332</v>
      </c>
      <c r="C2" s="20">
        <v>9600</v>
      </c>
      <c r="D2" s="21">
        <v>6300</v>
      </c>
      <c r="E2" s="21">
        <v>13300</v>
      </c>
    </row>
    <row r="3" spans="1:5" x14ac:dyDescent="0.2">
      <c r="A3" s="19">
        <v>2026</v>
      </c>
      <c r="B3" s="20">
        <v>10774.34</v>
      </c>
      <c r="C3" s="20">
        <f>$C$2+'2026 EV Load Forecast'!F9</f>
        <v>13172.34</v>
      </c>
      <c r="D3" s="21">
        <v>8537.8975088460593</v>
      </c>
      <c r="E3" s="21">
        <v>19665.585607885128</v>
      </c>
    </row>
    <row r="4" spans="1:5" x14ac:dyDescent="0.2">
      <c r="A4" s="19">
        <v>2027</v>
      </c>
      <c r="B4" s="20">
        <v>13783.029999999999</v>
      </c>
      <c r="C4" s="20">
        <f>$C$2+'2026 EV Load Forecast'!F10</f>
        <v>17844.03</v>
      </c>
      <c r="D4" s="21">
        <v>11570.745058977738</v>
      </c>
      <c r="E4" s="21">
        <v>29077.838894816443</v>
      </c>
    </row>
    <row r="5" spans="1:5" x14ac:dyDescent="0.2">
      <c r="A5" s="19">
        <v>2028</v>
      </c>
      <c r="B5" s="20">
        <v>17824.86</v>
      </c>
      <c r="C5" s="20">
        <f>$C$2+'2026 EV Load Forecast'!F11</f>
        <v>24342.86</v>
      </c>
      <c r="D5" s="21">
        <v>15680.926256276014</v>
      </c>
      <c r="E5" s="21">
        <v>42994.942111150725</v>
      </c>
    </row>
    <row r="6" spans="1:5" x14ac:dyDescent="0.2">
      <c r="A6" s="19">
        <v>2029</v>
      </c>
      <c r="B6" s="20">
        <v>23359.879999999997</v>
      </c>
      <c r="C6" s="20">
        <f>$C$2+'2026 EV Load Forecast'!F12</f>
        <v>33485.879999999997</v>
      </c>
      <c r="D6" s="21">
        <v>21251.133526961548</v>
      </c>
      <c r="E6" s="21">
        <v>63572.986074654131</v>
      </c>
    </row>
    <row r="7" spans="1:5" x14ac:dyDescent="0.2">
      <c r="A7" s="19">
        <v>2030</v>
      </c>
      <c r="B7" s="20">
        <v>31111.67</v>
      </c>
      <c r="C7" s="20">
        <f>$C$2+'2026 EV Load Forecast'!F13</f>
        <v>46569.67</v>
      </c>
      <c r="D7" s="21">
        <v>28800</v>
      </c>
      <c r="E7" s="21">
        <v>94000</v>
      </c>
    </row>
    <row r="8" spans="1:5" x14ac:dyDescent="0.2">
      <c r="A8" s="19">
        <v>2031</v>
      </c>
      <c r="B8" s="20">
        <v>42173.09</v>
      </c>
      <c r="C8" s="20">
        <f>$C$2+'2026 EV Load Forecast'!F14</f>
        <v>65546.09</v>
      </c>
      <c r="D8" s="21">
        <v>42476.937913724876</v>
      </c>
      <c r="E8" s="21">
        <v>120321.37529662345</v>
      </c>
    </row>
    <row r="9" spans="1:5" x14ac:dyDescent="0.2">
      <c r="A9" s="19">
        <v>2032</v>
      </c>
      <c r="B9" s="20">
        <v>58156.61</v>
      </c>
      <c r="C9" s="20">
        <f>$C$2+'2026 EV Load Forecast'!F15</f>
        <v>90454.61</v>
      </c>
      <c r="D9" s="21">
        <v>62648.967171056873</v>
      </c>
      <c r="E9" s="21">
        <v>154013.12077947773</v>
      </c>
    </row>
    <row r="10" spans="1:5" x14ac:dyDescent="0.2">
      <c r="A10" s="19">
        <v>2033</v>
      </c>
      <c r="B10" s="20">
        <v>81464.37</v>
      </c>
      <c r="C10" s="20">
        <f>$C$2+'2026 EV Load Forecast'!F16</f>
        <v>121388.37</v>
      </c>
      <c r="D10" s="21">
        <v>92400.56558624898</v>
      </c>
      <c r="E10" s="21">
        <v>197139.04793523121</v>
      </c>
    </row>
    <row r="11" spans="1:5" x14ac:dyDescent="0.2">
      <c r="A11" s="19">
        <v>2034</v>
      </c>
      <c r="B11" s="20">
        <v>115683.26</v>
      </c>
      <c r="C11" s="20">
        <f>$C$2+'2026 EV Load Forecast'!F17</f>
        <v>158445.25999999998</v>
      </c>
      <c r="D11" s="21">
        <v>136281.00998611673</v>
      </c>
      <c r="E11" s="21">
        <v>252340.86566206376</v>
      </c>
    </row>
    <row r="12" spans="1:5" x14ac:dyDescent="0.2">
      <c r="A12" s="19">
        <v>2035</v>
      </c>
      <c r="B12" s="20">
        <v>166162.64000000001</v>
      </c>
      <c r="C12" s="20">
        <f>$C$2+'2026 EV Load Forecast'!F18</f>
        <v>201723.64</v>
      </c>
      <c r="D12" s="21">
        <v>201000</v>
      </c>
      <c r="E12" s="21">
        <v>323000</v>
      </c>
    </row>
    <row r="13" spans="1:5" x14ac:dyDescent="0.2">
      <c r="A13" s="19">
        <v>2036</v>
      </c>
      <c r="B13" s="20">
        <v>228512.26</v>
      </c>
      <c r="C13" s="20">
        <f>$C$2+'2026 EV Load Forecast'!F19</f>
        <v>244533.91</v>
      </c>
      <c r="D13" s="21">
        <v>238015.92557911694</v>
      </c>
      <c r="E13" s="21">
        <v>361219.93274513929</v>
      </c>
    </row>
  </sheetData>
  <pageMargins left="0.7" right="0.7" top="0.75" bottom="0.7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7e495d63-2f91-4396-9294-56f6556ba290}" enabled="1" method="Standard" siteId="{fd6bcd81-5835-4f87-b633-74c802612d0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2026 EV Load Forecast</vt:lpstr>
      <vt:lpstr>Sales Comparison</vt:lpstr>
      <vt:lpstr>'2026 EV Load Forecast'!Print_Area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2026-07-07T12:20:48Z</dcterms:created>
  <dcterms:modified xsi:type="dcterms:W3CDTF">2026-07-07T12:21:25Z</dcterms:modified>
  <cp:category/>
  <cp:contentStatus/>
</cp:coreProperties>
</file>