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xplorelunenburgca.sharepoint.com/sites/Finance/Shared Documents/Electric Utility/Electric Flow Through/2026 2027 Electric Flow Through/"/>
    </mc:Choice>
  </mc:AlternateContent>
  <xr:revisionPtr revIDLastSave="0" documentId="8_{5B0EF94D-4701-46F6-BB44-9B5ADA967637}" xr6:coauthVersionLast="47" xr6:coauthVersionMax="47" xr10:uidLastSave="{00000000-0000-0000-0000-000000000000}"/>
  <bookViews>
    <workbookView xWindow="28680" yWindow="-120" windowWidth="29040" windowHeight="15720" xr2:uid="{F76CC508-3167-4EB5-8809-F8090B09E4D1}"/>
  </bookViews>
  <sheets>
    <sheet name="Retail Rates 2027" sheetId="6" r:id="rId1"/>
    <sheet name="Retail Rates 2026" sheetId="2" r:id="rId2"/>
    <sheet name="Load Forecast for GRA 2025-26" sheetId="4" r:id="rId3"/>
    <sheet name="Test Year Load Forecast" sheetId="5" r:id="rId4"/>
    <sheet name="Data and Sources" sheetId="1" r:id="rId5"/>
  </sheets>
  <definedNames>
    <definedName name="_xlnm.Print_Area" localSheetId="4">'Data and Sources'!$B$122:$T$162</definedName>
    <definedName name="_xlnm.Print_Area" localSheetId="1">'Retail Rates 2026'!$A$104:$O$133</definedName>
    <definedName name="_xlnm.Print_Area" localSheetId="0">'Retail Rates 2027'!$A$104:$N$133</definedName>
    <definedName name="_xlnm.Print_Titles" localSheetId="4">'Data and Sources'!$3:$3</definedName>
    <definedName name="_xlnm.Print_Titles" localSheetId="1">'Retail Rates 2026'!$1:$1</definedName>
    <definedName name="_xlnm.Print_Titles" localSheetId="0">'Retail Rates 2027'!$1:$1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" i="5" l="1"/>
  <c r="D118" i="1"/>
  <c r="N88" i="6"/>
  <c r="N87" i="6"/>
  <c r="N86" i="6"/>
  <c r="M87" i="6"/>
  <c r="M86" i="6"/>
  <c r="O44" i="6"/>
  <c r="O42" i="6"/>
  <c r="O38" i="6"/>
  <c r="O37" i="6"/>
  <c r="O4" i="2"/>
  <c r="T45" i="2"/>
  <c r="T43" i="2"/>
  <c r="T39" i="2"/>
  <c r="T38" i="2"/>
  <c r="G113" i="6"/>
  <c r="N29" i="6"/>
  <c r="N26" i="6"/>
  <c r="N25" i="6"/>
  <c r="N24" i="6"/>
  <c r="M42" i="6"/>
  <c r="E77" i="6"/>
  <c r="E70" i="6"/>
  <c r="E62" i="6"/>
  <c r="E60" i="6"/>
  <c r="E55" i="6"/>
  <c r="E51" i="6"/>
  <c r="M77" i="2"/>
  <c r="I77" i="2"/>
  <c r="J76" i="2"/>
  <c r="J75" i="2"/>
  <c r="G77" i="2"/>
  <c r="G76" i="2"/>
  <c r="G75" i="2"/>
  <c r="G74" i="2"/>
  <c r="M70" i="2"/>
  <c r="L70" i="2"/>
  <c r="J69" i="2"/>
  <c r="J68" i="2"/>
  <c r="J61" i="2"/>
  <c r="J54" i="2"/>
  <c r="J53" i="2"/>
  <c r="I70" i="2"/>
  <c r="G70" i="2"/>
  <c r="G69" i="2"/>
  <c r="G68" i="2"/>
  <c r="G67" i="2"/>
  <c r="Q60" i="2"/>
  <c r="P60" i="2"/>
  <c r="M62" i="2"/>
  <c r="M60" i="2"/>
  <c r="M55" i="2"/>
  <c r="M51" i="2"/>
  <c r="L62" i="2"/>
  <c r="L60" i="2"/>
  <c r="I62" i="2"/>
  <c r="I60" i="2"/>
  <c r="I55" i="2"/>
  <c r="I51" i="2"/>
  <c r="G62" i="2"/>
  <c r="G61" i="2"/>
  <c r="G60" i="2"/>
  <c r="O25" i="2"/>
  <c r="O24" i="2"/>
  <c r="M25" i="2"/>
  <c r="M24" i="2"/>
  <c r="G51" i="2"/>
  <c r="O27" i="2"/>
  <c r="G52" i="2"/>
  <c r="F77" i="2"/>
  <c r="F70" i="2"/>
  <c r="F53" i="2"/>
  <c r="F54" i="2" s="1"/>
  <c r="F51" i="2"/>
  <c r="F55" i="2" s="1"/>
  <c r="M26" i="2" l="1"/>
  <c r="L131" i="1"/>
  <c r="K128" i="1" l="1"/>
  <c r="K131" i="1"/>
  <c r="K130" i="1"/>
  <c r="K127" i="1"/>
  <c r="K126" i="1"/>
  <c r="K125" i="1"/>
  <c r="L130" i="1"/>
  <c r="L127" i="1"/>
  <c r="D120" i="1"/>
  <c r="D97" i="1"/>
  <c r="C97" i="1"/>
  <c r="D59" i="1"/>
  <c r="C59" i="1"/>
  <c r="D24" i="1"/>
  <c r="C24" i="1"/>
  <c r="D116" i="1"/>
  <c r="O14" i="5"/>
  <c r="P19" i="5"/>
  <c r="P18" i="5"/>
  <c r="P17" i="5"/>
  <c r="P16" i="5"/>
  <c r="P15" i="5"/>
  <c r="P14" i="5"/>
  <c r="N19" i="5"/>
  <c r="N18" i="5"/>
  <c r="N17" i="5"/>
  <c r="N16" i="5"/>
  <c r="N15" i="5"/>
  <c r="N14" i="5"/>
  <c r="E100" i="1"/>
  <c r="E102" i="1"/>
  <c r="D103" i="1"/>
  <c r="D102" i="1"/>
  <c r="D101" i="1"/>
  <c r="D100" i="1"/>
  <c r="O4" i="5"/>
  <c r="O3" i="5"/>
  <c r="M59" i="1"/>
  <c r="J54" i="1"/>
  <c r="H54" i="1"/>
  <c r="I54" i="1" s="1"/>
  <c r="J53" i="1"/>
  <c r="K53" i="1" s="1"/>
  <c r="H53" i="1"/>
  <c r="I53" i="1" s="1"/>
  <c r="J52" i="1"/>
  <c r="H52" i="1"/>
  <c r="J51" i="1"/>
  <c r="K51" i="1" s="1"/>
  <c r="H51" i="1"/>
  <c r="I51" i="1" s="1"/>
  <c r="J50" i="1"/>
  <c r="H50" i="1"/>
  <c r="J49" i="1"/>
  <c r="H49" i="1"/>
  <c r="I49" i="1" s="1"/>
  <c r="K48" i="1"/>
  <c r="J48" i="1"/>
  <c r="H48" i="1"/>
  <c r="J47" i="1"/>
  <c r="K47" i="1" s="1"/>
  <c r="H47" i="1"/>
  <c r="I47" i="1" s="1"/>
  <c r="J46" i="1"/>
  <c r="H46" i="1"/>
  <c r="G59" i="1"/>
  <c r="L132" i="1" l="1"/>
  <c r="N59" i="1"/>
  <c r="K54" i="1"/>
  <c r="K52" i="1"/>
  <c r="I52" i="1"/>
  <c r="K50" i="1"/>
  <c r="I50" i="1"/>
  <c r="K49" i="1"/>
  <c r="K5" i="5"/>
  <c r="O5" i="5" s="1"/>
  <c r="I48" i="1"/>
  <c r="E133" i="6" l="1"/>
  <c r="F133" i="6" s="1"/>
  <c r="G133" i="6" s="1"/>
  <c r="E130" i="6"/>
  <c r="E128" i="6"/>
  <c r="E131" i="6" s="1"/>
  <c r="E132" i="6" s="1"/>
  <c r="E126" i="6"/>
  <c r="F121" i="6"/>
  <c r="G121" i="6" s="1"/>
  <c r="G114" i="6"/>
  <c r="G100" i="6"/>
  <c r="H100" i="6" s="1"/>
  <c r="G99" i="6"/>
  <c r="H99" i="6" s="1"/>
  <c r="G98" i="6"/>
  <c r="H98" i="6" s="1"/>
  <c r="G97" i="6"/>
  <c r="H97" i="6" s="1"/>
  <c r="G77" i="6"/>
  <c r="I77" i="6" s="1"/>
  <c r="J77" i="6" s="1"/>
  <c r="P71" i="6"/>
  <c r="G70" i="6"/>
  <c r="I70" i="6" s="1"/>
  <c r="J70" i="6" s="1"/>
  <c r="G62" i="6"/>
  <c r="I62" i="6" s="1"/>
  <c r="J62" i="6" s="1"/>
  <c r="G60" i="6"/>
  <c r="I60" i="6" s="1"/>
  <c r="J60" i="6" s="1"/>
  <c r="P55" i="6"/>
  <c r="G55" i="6"/>
  <c r="I55" i="6" s="1"/>
  <c r="J55" i="6" s="1"/>
  <c r="L53" i="6"/>
  <c r="R51" i="6"/>
  <c r="G51" i="6"/>
  <c r="I51" i="6" s="1"/>
  <c r="T71" i="2"/>
  <c r="T55" i="2"/>
  <c r="O53" i="2"/>
  <c r="E77" i="2"/>
  <c r="E62" i="2"/>
  <c r="E55" i="2"/>
  <c r="E53" i="2"/>
  <c r="F126" i="1"/>
  <c r="E131" i="1"/>
  <c r="F131" i="1" s="1"/>
  <c r="E54" i="2" l="1"/>
  <c r="G54" i="2" s="1"/>
  <c r="G53" i="2"/>
  <c r="F125" i="1"/>
  <c r="J51" i="6"/>
  <c r="S51" i="6"/>
  <c r="I130" i="1" l="1"/>
  <c r="D37" i="5"/>
  <c r="C37" i="5"/>
  <c r="K18" i="5"/>
  <c r="L18" i="5" s="1"/>
  <c r="I15" i="5"/>
  <c r="J15" i="5" s="1"/>
  <c r="K15" i="5" s="1"/>
  <c r="L15" i="5" s="1"/>
  <c r="H19" i="5"/>
  <c r="H18" i="5"/>
  <c r="H17" i="5"/>
  <c r="H16" i="5"/>
  <c r="H14" i="5"/>
  <c r="G19" i="5"/>
  <c r="G18" i="5"/>
  <c r="G17" i="5"/>
  <c r="G16" i="5"/>
  <c r="G14" i="5"/>
  <c r="L24" i="6" l="1"/>
  <c r="N24" i="2"/>
  <c r="N25" i="2"/>
  <c r="L25" i="6"/>
  <c r="E138" i="1"/>
  <c r="A14" i="5"/>
  <c r="I14" i="5"/>
  <c r="J14" i="5" s="1"/>
  <c r="O76" i="2"/>
  <c r="O75" i="2"/>
  <c r="O74" i="2"/>
  <c r="L76" i="6"/>
  <c r="L75" i="6"/>
  <c r="L74" i="6"/>
  <c r="D38" i="5"/>
  <c r="E139" i="1"/>
  <c r="G115" i="6"/>
  <c r="I18" i="5"/>
  <c r="I19" i="5"/>
  <c r="J19" i="5" s="1"/>
  <c r="K19" i="5" s="1"/>
  <c r="L19" i="5" s="1"/>
  <c r="G20" i="5"/>
  <c r="G22" i="5" s="1"/>
  <c r="I16" i="5"/>
  <c r="J16" i="5" s="1"/>
  <c r="K16" i="5" s="1"/>
  <c r="J18" i="5"/>
  <c r="I17" i="5"/>
  <c r="J17" i="5" s="1"/>
  <c r="K17" i="5" s="1"/>
  <c r="L17" i="5" s="1"/>
  <c r="H20" i="5"/>
  <c r="H22" i="5" s="1"/>
  <c r="H92" i="1"/>
  <c r="I92" i="1" s="1"/>
  <c r="L92" i="1"/>
  <c r="L91" i="1"/>
  <c r="L90" i="1"/>
  <c r="L89" i="1"/>
  <c r="L88" i="1"/>
  <c r="L87" i="1"/>
  <c r="L86" i="1"/>
  <c r="L85" i="1"/>
  <c r="L84" i="1"/>
  <c r="L83" i="1"/>
  <c r="H94" i="1"/>
  <c r="I94" i="1" s="1"/>
  <c r="H93" i="1"/>
  <c r="I93" i="1" s="1"/>
  <c r="G94" i="1"/>
  <c r="G93" i="1"/>
  <c r="G92" i="1"/>
  <c r="G91" i="1"/>
  <c r="G90" i="1"/>
  <c r="G89" i="1"/>
  <c r="G88" i="1"/>
  <c r="G87" i="1"/>
  <c r="G86" i="1"/>
  <c r="G85" i="1"/>
  <c r="G84" i="1"/>
  <c r="G83" i="1"/>
  <c r="L94" i="1"/>
  <c r="L93" i="1"/>
  <c r="F139" i="1" l="1"/>
  <c r="F142" i="1" s="1"/>
  <c r="P74" i="2"/>
  <c r="P78" i="2" s="1"/>
  <c r="P41" i="2" s="1"/>
  <c r="S74" i="2"/>
  <c r="P75" i="2"/>
  <c r="S75" i="2"/>
  <c r="P76" i="2"/>
  <c r="S76" i="2"/>
  <c r="M24" i="6"/>
  <c r="L26" i="6"/>
  <c r="N26" i="2"/>
  <c r="M25" i="6"/>
  <c r="O67" i="2"/>
  <c r="L69" i="6"/>
  <c r="L68" i="6"/>
  <c r="L67" i="6"/>
  <c r="O69" i="2"/>
  <c r="O68" i="2"/>
  <c r="S68" i="2" s="1"/>
  <c r="E142" i="1"/>
  <c r="L16" i="5"/>
  <c r="O61" i="2"/>
  <c r="L61" i="6"/>
  <c r="K14" i="5"/>
  <c r="K51" i="6"/>
  <c r="N51" i="2"/>
  <c r="I20" i="5"/>
  <c r="D70" i="1"/>
  <c r="L57" i="1"/>
  <c r="K46" i="1"/>
  <c r="L43" i="1"/>
  <c r="J57" i="1"/>
  <c r="J56" i="1"/>
  <c r="K56" i="1" s="1"/>
  <c r="J55" i="1"/>
  <c r="K55" i="1" s="1"/>
  <c r="H57" i="1"/>
  <c r="H56" i="1"/>
  <c r="I56" i="1" s="1"/>
  <c r="H55" i="1"/>
  <c r="I55" i="1" s="1"/>
  <c r="I46" i="1"/>
  <c r="G57" i="1"/>
  <c r="G56" i="1"/>
  <c r="G55" i="1"/>
  <c r="G54" i="1"/>
  <c r="G53" i="1"/>
  <c r="G52" i="1"/>
  <c r="G51" i="1"/>
  <c r="G50" i="1"/>
  <c r="G49" i="1"/>
  <c r="G48" i="1"/>
  <c r="G47" i="1"/>
  <c r="G46" i="1"/>
  <c r="G139" i="1" l="1"/>
  <c r="I139" i="1" s="1"/>
  <c r="N27" i="6" s="1"/>
  <c r="N28" i="6" s="1"/>
  <c r="M26" i="6"/>
  <c r="P61" i="2"/>
  <c r="S61" i="2"/>
  <c r="P69" i="2"/>
  <c r="S69" i="2"/>
  <c r="P67" i="2"/>
  <c r="S67" i="2"/>
  <c r="S71" i="2" s="1"/>
  <c r="S40" i="2" s="1"/>
  <c r="S78" i="2"/>
  <c r="S41" i="2" s="1"/>
  <c r="L54" i="1"/>
  <c r="L53" i="1"/>
  <c r="L52" i="1"/>
  <c r="L51" i="1"/>
  <c r="L50" i="1"/>
  <c r="L49" i="1"/>
  <c r="L48" i="1"/>
  <c r="L47" i="1"/>
  <c r="K20" i="5"/>
  <c r="L14" i="5"/>
  <c r="G142" i="1"/>
  <c r="O71" i="2"/>
  <c r="P68" i="2"/>
  <c r="P71" i="2" s="1"/>
  <c r="P40" i="2" s="1"/>
  <c r="L71" i="6"/>
  <c r="O60" i="2"/>
  <c r="L60" i="6"/>
  <c r="O57" i="2"/>
  <c r="O54" i="2" s="1"/>
  <c r="L57" i="6"/>
  <c r="L54" i="6" s="1"/>
  <c r="I57" i="1"/>
  <c r="H83" i="1"/>
  <c r="K57" i="1"/>
  <c r="K58" i="1" s="1"/>
  <c r="J83" i="1"/>
  <c r="L56" i="1"/>
  <c r="M56" i="1" s="1"/>
  <c r="N56" i="1" s="1"/>
  <c r="M51" i="1"/>
  <c r="M52" i="1"/>
  <c r="L46" i="1"/>
  <c r="M46" i="1" s="1"/>
  <c r="M47" i="1"/>
  <c r="M48" i="1"/>
  <c r="L55" i="1"/>
  <c r="M55" i="1" s="1"/>
  <c r="M50" i="1"/>
  <c r="M57" i="1"/>
  <c r="M53" i="1"/>
  <c r="M54" i="1"/>
  <c r="M49" i="1"/>
  <c r="I142" i="1" l="1"/>
  <c r="I145" i="1"/>
  <c r="P54" i="2"/>
  <c r="S54" i="2"/>
  <c r="P63" i="2"/>
  <c r="P39" i="2" s="1"/>
  <c r="S60" i="2"/>
  <c r="S63" i="2" s="1"/>
  <c r="S39" i="2" s="1"/>
  <c r="M20" i="5"/>
  <c r="M60" i="6"/>
  <c r="N60" i="6"/>
  <c r="D39" i="5"/>
  <c r="K139" i="1" s="1"/>
  <c r="O51" i="2"/>
  <c r="L51" i="6"/>
  <c r="I83" i="1"/>
  <c r="H84" i="1"/>
  <c r="K83" i="1"/>
  <c r="J84" i="1"/>
  <c r="N46" i="1"/>
  <c r="N52" i="1"/>
  <c r="N54" i="1"/>
  <c r="N55" i="1"/>
  <c r="N48" i="1"/>
  <c r="N51" i="1"/>
  <c r="N47" i="1"/>
  <c r="N57" i="1"/>
  <c r="N53" i="1"/>
  <c r="N49" i="1"/>
  <c r="N50" i="1"/>
  <c r="L58" i="1"/>
  <c r="K142" i="1" l="1"/>
  <c r="L139" i="1"/>
  <c r="P51" i="2"/>
  <c r="P57" i="2" s="1"/>
  <c r="P38" i="2" s="1"/>
  <c r="P45" i="2" s="1"/>
  <c r="S51" i="2"/>
  <c r="S57" i="2" s="1"/>
  <c r="S38" i="2" s="1"/>
  <c r="S45" i="2" s="1"/>
  <c r="M83" i="1"/>
  <c r="N83" i="1" s="1"/>
  <c r="Q83" i="1"/>
  <c r="M51" i="6"/>
  <c r="N51" i="6"/>
  <c r="I84" i="1"/>
  <c r="H85" i="1"/>
  <c r="K84" i="1"/>
  <c r="J85" i="1"/>
  <c r="L142" i="1" l="1"/>
  <c r="L145" i="1"/>
  <c r="M84" i="1"/>
  <c r="N84" i="1" s="1"/>
  <c r="Q84" i="1"/>
  <c r="J86" i="1"/>
  <c r="K85" i="1"/>
  <c r="Q85" i="1" s="1"/>
  <c r="H86" i="1"/>
  <c r="I85" i="1"/>
  <c r="H87" i="1" l="1"/>
  <c r="I86" i="1"/>
  <c r="M85" i="1"/>
  <c r="N85" i="1" s="1"/>
  <c r="K86" i="1"/>
  <c r="Q86" i="1" s="1"/>
  <c r="J87" i="1"/>
  <c r="M86" i="1" l="1"/>
  <c r="N86" i="1" s="1"/>
  <c r="K87" i="1"/>
  <c r="Q87" i="1" s="1"/>
  <c r="J88" i="1"/>
  <c r="E130" i="1" s="1"/>
  <c r="H88" i="1"/>
  <c r="I87" i="1"/>
  <c r="E132" i="1" l="1"/>
  <c r="E145" i="1" s="1"/>
  <c r="F130" i="1"/>
  <c r="F132" i="1" s="1"/>
  <c r="F145" i="1" s="1"/>
  <c r="G145" i="1" s="1"/>
  <c r="M87" i="1"/>
  <c r="N87" i="1" s="1"/>
  <c r="H89" i="1"/>
  <c r="I88" i="1"/>
  <c r="J89" i="1"/>
  <c r="K88" i="1"/>
  <c r="M88" i="1" l="1"/>
  <c r="N88" i="1" s="1"/>
  <c r="Q88" i="1"/>
  <c r="H90" i="1"/>
  <c r="I89" i="1"/>
  <c r="J90" i="1"/>
  <c r="K89" i="1"/>
  <c r="Q89" i="1" s="1"/>
  <c r="E27" i="1"/>
  <c r="M89" i="1" l="1"/>
  <c r="N89" i="1" s="1"/>
  <c r="K90" i="1"/>
  <c r="Q90" i="1" s="1"/>
  <c r="J91" i="1"/>
  <c r="H91" i="1"/>
  <c r="I91" i="1" s="1"/>
  <c r="I90" i="1"/>
  <c r="J22" i="1"/>
  <c r="J21" i="1"/>
  <c r="J20" i="1"/>
  <c r="H22" i="1"/>
  <c r="H21" i="1"/>
  <c r="H20" i="1"/>
  <c r="J19" i="1"/>
  <c r="J18" i="1"/>
  <c r="J17" i="1"/>
  <c r="J16" i="1"/>
  <c r="J15" i="1"/>
  <c r="J14" i="1"/>
  <c r="J13" i="1"/>
  <c r="J12" i="1"/>
  <c r="J11" i="1"/>
  <c r="H19" i="1"/>
  <c r="H18" i="1"/>
  <c r="H17" i="1"/>
  <c r="H16" i="1"/>
  <c r="H15" i="1"/>
  <c r="H14" i="1"/>
  <c r="H13" i="1"/>
  <c r="H12" i="1"/>
  <c r="H11" i="1"/>
  <c r="L22" i="1"/>
  <c r="L21" i="1"/>
  <c r="L20" i="1"/>
  <c r="L19" i="1"/>
  <c r="L18" i="1"/>
  <c r="L17" i="1"/>
  <c r="L16" i="1"/>
  <c r="L15" i="1"/>
  <c r="L14" i="1"/>
  <c r="L13" i="1"/>
  <c r="L12" i="1"/>
  <c r="E22" i="1"/>
  <c r="D22" i="1"/>
  <c r="G22" i="1" s="1"/>
  <c r="C22" i="1"/>
  <c r="E21" i="1"/>
  <c r="D21" i="1"/>
  <c r="G21" i="1" s="1"/>
  <c r="C21" i="1"/>
  <c r="E20" i="1"/>
  <c r="D20" i="1"/>
  <c r="G20" i="1" s="1"/>
  <c r="C20" i="1"/>
  <c r="E19" i="1"/>
  <c r="D19" i="1"/>
  <c r="G19" i="1" s="1"/>
  <c r="C19" i="1"/>
  <c r="E18" i="1"/>
  <c r="D18" i="1"/>
  <c r="G18" i="1" s="1"/>
  <c r="C18" i="1"/>
  <c r="E17" i="1"/>
  <c r="D17" i="1"/>
  <c r="G17" i="1" s="1"/>
  <c r="C17" i="1"/>
  <c r="E16" i="1"/>
  <c r="D16" i="1"/>
  <c r="G16" i="1" s="1"/>
  <c r="C16" i="1"/>
  <c r="E15" i="1"/>
  <c r="D15" i="1"/>
  <c r="G15" i="1" s="1"/>
  <c r="C15" i="1"/>
  <c r="E14" i="1"/>
  <c r="D14" i="1"/>
  <c r="G14" i="1" s="1"/>
  <c r="C14" i="1"/>
  <c r="E13" i="1"/>
  <c r="D13" i="1"/>
  <c r="G13" i="1" s="1"/>
  <c r="C13" i="1"/>
  <c r="E12" i="1"/>
  <c r="D12" i="1"/>
  <c r="G12" i="1" s="1"/>
  <c r="C12" i="1"/>
  <c r="L11" i="1"/>
  <c r="E11" i="1"/>
  <c r="D11" i="1"/>
  <c r="G11" i="1" s="1"/>
  <c r="C11" i="1"/>
  <c r="K91" i="1" l="1"/>
  <c r="J92" i="1"/>
  <c r="M90" i="1"/>
  <c r="N90" i="1" s="1"/>
  <c r="D35" i="1"/>
  <c r="K22" i="1"/>
  <c r="I12" i="1"/>
  <c r="K14" i="1"/>
  <c r="K12" i="1"/>
  <c r="I20" i="1"/>
  <c r="I15" i="1"/>
  <c r="I17" i="1"/>
  <c r="K16" i="1"/>
  <c r="I19" i="1"/>
  <c r="K21" i="1"/>
  <c r="K15" i="1"/>
  <c r="I18" i="1"/>
  <c r="I16" i="1"/>
  <c r="I11" i="1"/>
  <c r="K18" i="1"/>
  <c r="K11" i="1"/>
  <c r="K19" i="1"/>
  <c r="I13" i="1"/>
  <c r="K17" i="1"/>
  <c r="I14" i="1"/>
  <c r="M14" i="1" s="1"/>
  <c r="K13" i="1"/>
  <c r="I21" i="1"/>
  <c r="I22" i="1"/>
  <c r="K20" i="1"/>
  <c r="M91" i="1" l="1"/>
  <c r="N91" i="1" s="1"/>
  <c r="Q91" i="1"/>
  <c r="K92" i="1"/>
  <c r="J93" i="1"/>
  <c r="R14" i="1"/>
  <c r="N14" i="1"/>
  <c r="M20" i="1"/>
  <c r="M11" i="1"/>
  <c r="M22" i="1"/>
  <c r="M21" i="1"/>
  <c r="M12" i="1"/>
  <c r="M13" i="1"/>
  <c r="M19" i="1"/>
  <c r="M16" i="1"/>
  <c r="M18" i="1"/>
  <c r="M17" i="1"/>
  <c r="M15" i="1"/>
  <c r="M92" i="1" l="1"/>
  <c r="N92" i="1" s="1"/>
  <c r="Q92" i="1"/>
  <c r="J94" i="1"/>
  <c r="K94" i="1" s="1"/>
  <c r="K93" i="1"/>
  <c r="R11" i="1"/>
  <c r="N11" i="1"/>
  <c r="R19" i="1"/>
  <c r="N19" i="1"/>
  <c r="R13" i="1"/>
  <c r="N13" i="1"/>
  <c r="R12" i="1"/>
  <c r="N12" i="1"/>
  <c r="R15" i="1"/>
  <c r="N15" i="1"/>
  <c r="R22" i="1"/>
  <c r="N22" i="1"/>
  <c r="R17" i="1"/>
  <c r="N17" i="1"/>
  <c r="R18" i="1"/>
  <c r="N18" i="1"/>
  <c r="R20" i="1"/>
  <c r="N20" i="1"/>
  <c r="R21" i="1"/>
  <c r="N21" i="1"/>
  <c r="R16" i="1"/>
  <c r="N16" i="1"/>
  <c r="E67" i="1"/>
  <c r="D67" i="1"/>
  <c r="I58" i="1"/>
  <c r="G58" i="1"/>
  <c r="E58" i="1"/>
  <c r="D58" i="1"/>
  <c r="C58" i="1"/>
  <c r="D109" i="1" s="1"/>
  <c r="M94" i="1" l="1"/>
  <c r="N94" i="1" s="1"/>
  <c r="Q94" i="1"/>
  <c r="M93" i="1"/>
  <c r="N93" i="1" s="1"/>
  <c r="Q93" i="1"/>
  <c r="D71" i="1"/>
  <c r="D72" i="1"/>
  <c r="C27" i="5" s="1"/>
  <c r="M58" i="1"/>
  <c r="N58" i="1" s="1"/>
  <c r="Q95" i="1" l="1"/>
  <c r="D69" i="1"/>
  <c r="G113" i="2" l="1"/>
  <c r="G114" i="2"/>
  <c r="E105" i="1"/>
  <c r="F105" i="1" l="1"/>
  <c r="O29" i="2"/>
  <c r="G115" i="2"/>
  <c r="D32" i="1"/>
  <c r="M23" i="1"/>
  <c r="L23" i="1"/>
  <c r="I23" i="1"/>
  <c r="G23" i="1"/>
  <c r="E23" i="1"/>
  <c r="D23" i="1"/>
  <c r="C23" i="1"/>
  <c r="D108" i="1" s="1"/>
  <c r="D110" i="1" s="1"/>
  <c r="E110" i="1" s="1"/>
  <c r="C96" i="1" s="1"/>
  <c r="N23" i="1" l="1"/>
  <c r="D36" i="1"/>
  <c r="D34" i="1"/>
  <c r="V53" i="2"/>
  <c r="V52" i="2"/>
  <c r="V51" i="2"/>
  <c r="I132" i="1"/>
  <c r="F121" i="2"/>
  <c r="G121" i="2" s="1"/>
  <c r="E133" i="2"/>
  <c r="F133" i="2" s="1"/>
  <c r="E130" i="2"/>
  <c r="E128" i="2"/>
  <c r="E131" i="2" s="1"/>
  <c r="E132" i="2" s="1"/>
  <c r="E126" i="2"/>
  <c r="K77" i="2"/>
  <c r="K55" i="2"/>
  <c r="K62" i="2"/>
  <c r="G100" i="2"/>
  <c r="H100" i="2" s="1"/>
  <c r="I100" i="2" s="1"/>
  <c r="G99" i="2"/>
  <c r="H99" i="2" s="1"/>
  <c r="I99" i="2" s="1"/>
  <c r="G98" i="2"/>
  <c r="H98" i="2" s="1"/>
  <c r="I98" i="2" s="1"/>
  <c r="G97" i="2"/>
  <c r="H97" i="2" s="1"/>
  <c r="I97" i="2" s="1"/>
  <c r="O26" i="2"/>
  <c r="O28" i="2" s="1"/>
  <c r="L77" i="2" l="1"/>
  <c r="L55" i="2"/>
  <c r="K132" i="1"/>
  <c r="K145" i="1" s="1"/>
  <c r="I150" i="1"/>
  <c r="K60" i="2"/>
  <c r="V54" i="2"/>
  <c r="K51" i="2"/>
  <c r="L51" i="2" s="1"/>
  <c r="Q51" i="2" s="1"/>
  <c r="K70" i="2"/>
  <c r="G133" i="2"/>
  <c r="L150" i="1" l="1"/>
  <c r="W51" i="2"/>
  <c r="N30" i="6" l="1"/>
  <c r="N33" i="6" s="1"/>
  <c r="C95" i="1"/>
  <c r="P31" i="6" s="1"/>
  <c r="I127" i="1"/>
  <c r="E127" i="1"/>
  <c r="E141" i="1" s="1"/>
  <c r="E143" i="1" s="1"/>
  <c r="L95" i="1"/>
  <c r="I95" i="1"/>
  <c r="G95" i="1"/>
  <c r="E95" i="1"/>
  <c r="D95" i="1"/>
  <c r="H61" i="6" l="1"/>
  <c r="H54" i="6"/>
  <c r="H76" i="6"/>
  <c r="H68" i="6"/>
  <c r="H53" i="6"/>
  <c r="H75" i="6"/>
  <c r="H69" i="6"/>
  <c r="L97" i="6"/>
  <c r="L98" i="6" s="1"/>
  <c r="L99" i="6" s="1"/>
  <c r="G116" i="6"/>
  <c r="G111" i="6" s="1"/>
  <c r="F127" i="6" s="1"/>
  <c r="H52" i="6"/>
  <c r="C28" i="5"/>
  <c r="D32" i="5"/>
  <c r="C34" i="5" s="1"/>
  <c r="C38" i="5" s="1"/>
  <c r="K138" i="1" s="1"/>
  <c r="D117" i="1"/>
  <c r="Q31" i="2"/>
  <c r="M95" i="1"/>
  <c r="D115" i="1" s="1"/>
  <c r="K141" i="1" l="1"/>
  <c r="K143" i="1" s="1"/>
  <c r="K147" i="1" s="1"/>
  <c r="L138" i="1"/>
  <c r="L141" i="1" s="1"/>
  <c r="L143" i="1" s="1"/>
  <c r="K106" i="6"/>
  <c r="F128" i="6"/>
  <c r="F131" i="6"/>
  <c r="G131" i="6" s="1"/>
  <c r="G127" i="6"/>
  <c r="K107" i="6"/>
  <c r="C39" i="5"/>
  <c r="F138" i="1"/>
  <c r="L100" i="6"/>
  <c r="N95" i="1"/>
  <c r="O30" i="2"/>
  <c r="L149" i="1" l="1"/>
  <c r="N7" i="6" s="1"/>
  <c r="L147" i="1"/>
  <c r="L154" i="1" s="1"/>
  <c r="L152" i="1"/>
  <c r="N3" i="6"/>
  <c r="F132" i="6"/>
  <c r="G132" i="6" s="1"/>
  <c r="G128" i="6"/>
  <c r="G138" i="1"/>
  <c r="I138" i="1" s="1"/>
  <c r="I141" i="1" s="1"/>
  <c r="I143" i="1" s="1"/>
  <c r="F141" i="1"/>
  <c r="O33" i="2"/>
  <c r="I147" i="1" l="1"/>
  <c r="J52" i="2"/>
  <c r="K107" i="2" s="1"/>
  <c r="G141" i="1"/>
  <c r="F143" i="1"/>
  <c r="G116" i="2"/>
  <c r="G111" i="2" s="1"/>
  <c r="F127" i="2" s="1"/>
  <c r="G127" i="2" s="1"/>
  <c r="L97" i="2"/>
  <c r="G143" i="1" l="1"/>
  <c r="K106" i="2"/>
  <c r="F128" i="2"/>
  <c r="G128" i="2" s="1"/>
  <c r="F131" i="2"/>
  <c r="G131" i="2" s="1"/>
  <c r="L98" i="2"/>
  <c r="G147" i="1" l="1"/>
  <c r="I149" i="1"/>
  <c r="O7" i="2" s="1"/>
  <c r="F132" i="2"/>
  <c r="G132" i="2" s="1"/>
  <c r="L99" i="2"/>
  <c r="O3" i="2" l="1"/>
  <c r="I152" i="1"/>
  <c r="I154" i="1"/>
  <c r="O6" i="2"/>
  <c r="O10" i="2"/>
  <c r="O12" i="2" s="1"/>
  <c r="L100" i="2"/>
  <c r="H69" i="2" l="1"/>
  <c r="I69" i="2" s="1"/>
  <c r="H68" i="2"/>
  <c r="I68" i="2" s="1"/>
  <c r="K68" i="2" s="1"/>
  <c r="H67" i="2"/>
  <c r="I67" i="2" s="1"/>
  <c r="K67" i="2" s="1"/>
  <c r="H76" i="2"/>
  <c r="I76" i="2" s="1"/>
  <c r="K76" i="2" s="1"/>
  <c r="E76" i="6" s="1"/>
  <c r="H75" i="2"/>
  <c r="I75" i="2" s="1"/>
  <c r="K75" i="2" s="1"/>
  <c r="E75" i="6" s="1"/>
  <c r="H74" i="2"/>
  <c r="I74" i="2" s="1"/>
  <c r="K74" i="2" s="1"/>
  <c r="H61" i="2"/>
  <c r="I61" i="2" s="1"/>
  <c r="K61" i="2" s="1"/>
  <c r="H54" i="2"/>
  <c r="I54" i="2" s="1"/>
  <c r="K54" i="2" s="1"/>
  <c r="H53" i="2"/>
  <c r="I53" i="2" s="1"/>
  <c r="H52" i="2"/>
  <c r="I52" i="2" s="1"/>
  <c r="K52" i="2" s="1"/>
  <c r="E52" i="6" s="1"/>
  <c r="R52" i="6" s="1"/>
  <c r="O8" i="2"/>
  <c r="J98" i="2"/>
  <c r="K98" i="2" s="1"/>
  <c r="M98" i="2" s="1"/>
  <c r="N98" i="2" s="1"/>
  <c r="J97" i="2"/>
  <c r="K97" i="2" s="1"/>
  <c r="M97" i="2" s="1"/>
  <c r="N97" i="2" s="1"/>
  <c r="J100" i="2"/>
  <c r="K100" i="2" s="1"/>
  <c r="J99" i="2"/>
  <c r="K99" i="2" s="1"/>
  <c r="M99" i="2" s="1"/>
  <c r="N99" i="2" s="1"/>
  <c r="K69" i="2"/>
  <c r="L74" i="2" l="1"/>
  <c r="E74" i="6"/>
  <c r="M75" i="6"/>
  <c r="M76" i="6"/>
  <c r="L54" i="2"/>
  <c r="Q54" i="2" s="1"/>
  <c r="Q57" i="2" s="1"/>
  <c r="E54" i="6"/>
  <c r="L61" i="2"/>
  <c r="E61" i="6"/>
  <c r="E67" i="6"/>
  <c r="L67" i="2"/>
  <c r="E68" i="6"/>
  <c r="L68" i="2"/>
  <c r="E69" i="6"/>
  <c r="L69" i="2"/>
  <c r="O99" i="2"/>
  <c r="F99" i="6"/>
  <c r="I99" i="6" s="1"/>
  <c r="O98" i="2"/>
  <c r="F98" i="6"/>
  <c r="I98" i="6" s="1"/>
  <c r="O97" i="2"/>
  <c r="F97" i="6"/>
  <c r="I97" i="6" s="1"/>
  <c r="L75" i="2"/>
  <c r="L76" i="2"/>
  <c r="M61" i="2"/>
  <c r="Q61" i="2"/>
  <c r="Q63" i="2" s="1"/>
  <c r="L52" i="2"/>
  <c r="M52" i="2" s="1"/>
  <c r="W52" i="2"/>
  <c r="H107" i="2"/>
  <c r="H106" i="2"/>
  <c r="J106" i="2" s="1"/>
  <c r="M106" i="2" s="1"/>
  <c r="F124" i="2" s="1"/>
  <c r="K53" i="2"/>
  <c r="M100" i="2"/>
  <c r="N100" i="2" s="1"/>
  <c r="M69" i="6" l="1"/>
  <c r="M54" i="6"/>
  <c r="M57" i="6" s="1"/>
  <c r="M37" i="6" s="1"/>
  <c r="M68" i="6"/>
  <c r="M67" i="2"/>
  <c r="Q67" i="2"/>
  <c r="M54" i="2"/>
  <c r="M67" i="6"/>
  <c r="M61" i="6"/>
  <c r="M63" i="6" s="1"/>
  <c r="M38" i="6" s="1"/>
  <c r="M68" i="2"/>
  <c r="Q68" i="2"/>
  <c r="L53" i="2"/>
  <c r="M53" i="2" s="1"/>
  <c r="E53" i="6"/>
  <c r="Q76" i="2"/>
  <c r="M76" i="2"/>
  <c r="M74" i="6"/>
  <c r="M78" i="6" s="1"/>
  <c r="M40" i="6" s="1"/>
  <c r="O100" i="2"/>
  <c r="F100" i="6"/>
  <c r="I100" i="6" s="1"/>
  <c r="Q75" i="2"/>
  <c r="M75" i="2"/>
  <c r="M69" i="2"/>
  <c r="Q69" i="2"/>
  <c r="Q71" i="2" s="1"/>
  <c r="Q74" i="2"/>
  <c r="Q78" i="2" s="1"/>
  <c r="M74" i="2"/>
  <c r="R57" i="2"/>
  <c r="Q38" i="2"/>
  <c r="R63" i="2"/>
  <c r="Q39" i="2"/>
  <c r="J107" i="2"/>
  <c r="M107" i="2" s="1"/>
  <c r="F125" i="2" s="1"/>
  <c r="F130" i="2" s="1"/>
  <c r="G130" i="2" s="1"/>
  <c r="W53" i="2"/>
  <c r="W54" i="2" s="1"/>
  <c r="F126" i="2"/>
  <c r="G124" i="2"/>
  <c r="D37" i="1"/>
  <c r="C26" i="5" s="1"/>
  <c r="C30" i="5" s="1"/>
  <c r="E29" i="1"/>
  <c r="R53" i="6" l="1"/>
  <c r="R54" i="6" s="1"/>
  <c r="M71" i="6"/>
  <c r="M39" i="6" s="1"/>
  <c r="M44" i="6" s="1"/>
  <c r="N4" i="6" s="1"/>
  <c r="R71" i="2"/>
  <c r="Q40" i="2"/>
  <c r="R78" i="2"/>
  <c r="Q41" i="2"/>
  <c r="W55" i="2"/>
  <c r="W56" i="2"/>
  <c r="G125" i="2"/>
  <c r="G126" i="2"/>
  <c r="N6" i="6" l="1"/>
  <c r="N8" i="6" s="1"/>
  <c r="N10" i="6"/>
  <c r="N12" i="6" s="1"/>
  <c r="Q45" i="2"/>
  <c r="Q46" i="2" s="1"/>
  <c r="F75" i="6" l="1"/>
  <c r="G75" i="6" s="1"/>
  <c r="I75" i="6" s="1"/>
  <c r="F76" i="6"/>
  <c r="G76" i="6" s="1"/>
  <c r="I76" i="6" s="1"/>
  <c r="F52" i="6"/>
  <c r="G52" i="6" s="1"/>
  <c r="I52" i="6" s="1"/>
  <c r="J97" i="6"/>
  <c r="K97" i="6" s="1"/>
  <c r="M97" i="6" s="1"/>
  <c r="N97" i="6" s="1"/>
  <c r="O97" i="6" s="1"/>
  <c r="J98" i="6"/>
  <c r="K98" i="6" s="1"/>
  <c r="M98" i="6" s="1"/>
  <c r="N98" i="6" s="1"/>
  <c r="O98" i="6" s="1"/>
  <c r="F69" i="6"/>
  <c r="G69" i="6" s="1"/>
  <c r="I69" i="6" s="1"/>
  <c r="F54" i="6"/>
  <c r="G54" i="6" s="1"/>
  <c r="I54" i="6" s="1"/>
  <c r="F67" i="6"/>
  <c r="G67" i="6" s="1"/>
  <c r="I67" i="6" s="1"/>
  <c r="J99" i="6"/>
  <c r="K99" i="6" s="1"/>
  <c r="M99" i="6" s="1"/>
  <c r="N99" i="6" s="1"/>
  <c r="O99" i="6" s="1"/>
  <c r="F68" i="6"/>
  <c r="G68" i="6" s="1"/>
  <c r="I68" i="6" s="1"/>
  <c r="F61" i="6"/>
  <c r="G61" i="6" s="1"/>
  <c r="I61" i="6" s="1"/>
  <c r="F74" i="6"/>
  <c r="G74" i="6" s="1"/>
  <c r="I74" i="6" s="1"/>
  <c r="F53" i="6"/>
  <c r="G53" i="6" s="1"/>
  <c r="J100" i="6"/>
  <c r="K100" i="6" s="1"/>
  <c r="M100" i="6" s="1"/>
  <c r="N100" i="6" s="1"/>
  <c r="O100" i="6" s="1"/>
  <c r="N69" i="6" l="1"/>
  <c r="J69" i="6"/>
  <c r="N75" i="6"/>
  <c r="J75" i="6"/>
  <c r="J54" i="6"/>
  <c r="N54" i="6"/>
  <c r="N57" i="6" s="1"/>
  <c r="H106" i="6"/>
  <c r="H107" i="6"/>
  <c r="I53" i="6"/>
  <c r="J52" i="6"/>
  <c r="S52" i="6"/>
  <c r="J67" i="6"/>
  <c r="N67" i="6"/>
  <c r="J74" i="6"/>
  <c r="N74" i="6"/>
  <c r="N78" i="6" s="1"/>
  <c r="J61" i="6"/>
  <c r="N61" i="6"/>
  <c r="N63" i="6" s="1"/>
  <c r="J68" i="6"/>
  <c r="N68" i="6"/>
  <c r="N76" i="6"/>
  <c r="J76" i="6"/>
  <c r="O57" i="6" l="1"/>
  <c r="N37" i="6"/>
  <c r="N40" i="6"/>
  <c r="O78" i="6"/>
  <c r="J106" i="6"/>
  <c r="L106" i="6" s="1"/>
  <c r="F124" i="6" s="1"/>
  <c r="J107" i="6"/>
  <c r="L107" i="6" s="1"/>
  <c r="F125" i="6" s="1"/>
  <c r="S54" i="6"/>
  <c r="O63" i="6"/>
  <c r="N38" i="6"/>
  <c r="N71" i="6"/>
  <c r="J53" i="6"/>
  <c r="S53" i="6"/>
  <c r="G125" i="6" l="1"/>
  <c r="F130" i="6"/>
  <c r="G130" i="6" s="1"/>
  <c r="S55" i="6"/>
  <c r="S56" i="6"/>
  <c r="G124" i="6"/>
  <c r="F126" i="6"/>
  <c r="G126" i="6" s="1"/>
  <c r="N39" i="6"/>
  <c r="N44" i="6" s="1"/>
  <c r="O71" i="6"/>
  <c r="N45" i="6" l="1"/>
  <c r="N46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tc={C5F7BB12-162C-4B1E-B59C-A68C853B31CD}</author>
  </authors>
  <commentList>
    <comment ref="L56" authorId="0" shapeId="0" xr:uid="{C5F7BB12-162C-4B1E-B59C-A68C853B31CD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Prorate adjustment on change of FAM rate
</t>
      </text>
    </comment>
  </commentList>
</comments>
</file>

<file path=xl/sharedStrings.xml><?xml version="1.0" encoding="utf-8"?>
<sst xmlns="http://schemas.openxmlformats.org/spreadsheetml/2006/main" count="626" uniqueCount="281">
  <si>
    <t>Town of Lunenburg Electric Utility</t>
  </si>
  <si>
    <t>Purchases</t>
  </si>
  <si>
    <t>KWH</t>
  </si>
  <si>
    <t>Billed</t>
  </si>
  <si>
    <t>Actual</t>
  </si>
  <si>
    <t>Demand</t>
  </si>
  <si>
    <t>Power Cost</t>
  </si>
  <si>
    <t>Total</t>
  </si>
  <si>
    <t>Cost</t>
  </si>
  <si>
    <t>(incl FAM)</t>
  </si>
  <si>
    <t>DOMESTIC SERVICE</t>
  </si>
  <si>
    <t>SMALL GENERAL</t>
  </si>
  <si>
    <t>GENERAL SERVICE</t>
  </si>
  <si>
    <t>LARGE GENERAL</t>
  </si>
  <si>
    <t>STREET LIGHTING</t>
  </si>
  <si>
    <t>Less COT</t>
  </si>
  <si>
    <t>Net Demand</t>
  </si>
  <si>
    <t>Energy</t>
  </si>
  <si>
    <t>C = Percent, expressed as 00.00</t>
  </si>
  <si>
    <t>D = NSPI, approved increase percent, expressed as 00.00</t>
  </si>
  <si>
    <t>E = Average percentage change required to the Lunenburg Electric Utilty's rates to recover its purchased power costs</t>
  </si>
  <si>
    <t>1) A/B = C</t>
  </si>
  <si>
    <t>2) C x D = E</t>
  </si>
  <si>
    <t>Flow Through</t>
  </si>
  <si>
    <t>Domestic Time of Use</t>
  </si>
  <si>
    <t>Base Rate</t>
  </si>
  <si>
    <t>Energy Charge</t>
  </si>
  <si>
    <t>Dec, Jan, Feb</t>
  </si>
  <si>
    <t>7 am - 1 pm</t>
  </si>
  <si>
    <t>1pm - 4 pm</t>
  </si>
  <si>
    <t>4pm - 10 pm</t>
  </si>
  <si>
    <t>10 pm - 7 am</t>
  </si>
  <si>
    <t>Weekends/Holidays</t>
  </si>
  <si>
    <t>Mar-Nov</t>
  </si>
  <si>
    <t>7 am - 10 pm</t>
  </si>
  <si>
    <t>10pm - 7 am</t>
  </si>
  <si>
    <t>Min Bill</t>
  </si>
  <si>
    <t>Domestic Service</t>
  </si>
  <si>
    <t>Service Charge</t>
  </si>
  <si>
    <t>1st 200 kWh</t>
  </si>
  <si>
    <t>Remaining</t>
  </si>
  <si>
    <t>Small General</t>
  </si>
  <si>
    <t>Base Charge</t>
  </si>
  <si>
    <t>Energy Rate</t>
  </si>
  <si>
    <t>General</t>
  </si>
  <si>
    <t>Demand Charge</t>
  </si>
  <si>
    <t>1st Block kWh</t>
  </si>
  <si>
    <t xml:space="preserve"> </t>
  </si>
  <si>
    <t>Large General</t>
  </si>
  <si>
    <t>1st 100 kWh</t>
  </si>
  <si>
    <t>Min Charge</t>
  </si>
  <si>
    <t>Street Lights</t>
  </si>
  <si>
    <t>* Computed from Rates</t>
  </si>
  <si>
    <t>Computation for Pass Through of GRA Increases</t>
  </si>
  <si>
    <t>Computation for Pass Through of DSM Adder</t>
  </si>
  <si>
    <t xml:space="preserve">For Domestic Service, Small General, General, and Large General, the following formula </t>
  </si>
  <si>
    <t>will apply:</t>
  </si>
  <si>
    <t>A+B=C</t>
  </si>
  <si>
    <t xml:space="preserve">Cx D/100 = E </t>
  </si>
  <si>
    <t>E/F* 100 = G</t>
  </si>
  <si>
    <t xml:space="preserve">A = NSPI DSM Rate to Municipal Class (cents per kWh) </t>
  </si>
  <si>
    <t xml:space="preserve">B = NSPI FAM Rate to Municipal Class (cents per kWh) </t>
  </si>
  <si>
    <t>C = Net NSPI adjustment (cents per kWh)</t>
  </si>
  <si>
    <t xml:space="preserve">D = kWh purchases from NSPI for previous complete fiscal year </t>
  </si>
  <si>
    <t>E = Total cost adjustment on annual purchases from NSPI</t>
  </si>
  <si>
    <t>F = kWh sold by Municipal Electric Utility for previous complete fiscal year</t>
  </si>
  <si>
    <t>% Change</t>
  </si>
  <si>
    <t>Aggregate Percentage Change</t>
  </si>
  <si>
    <t>1.</t>
  </si>
  <si>
    <t>2.</t>
  </si>
  <si>
    <t>For Street and Yard Lighting Categories the following formula will apply:</t>
  </si>
  <si>
    <t>A = Current monthly street light charge</t>
  </si>
  <si>
    <t>B = NSPI rate schedule monthly kWh per month for each street light category</t>
  </si>
  <si>
    <t>C = Current street light charge per kWh</t>
  </si>
  <si>
    <t>D = kWh adjustment (in cents per kWh) due to FAM or DSM</t>
  </si>
  <si>
    <t>E = Adjusted street light charge per kWh</t>
  </si>
  <si>
    <t>F = Adjusted monthly Street light rate</t>
  </si>
  <si>
    <t>A/B = C</t>
  </si>
  <si>
    <t>C+D=E</t>
  </si>
  <si>
    <t>W HPS</t>
  </si>
  <si>
    <t>Rate Revised for Flow Through</t>
  </si>
  <si>
    <t>(A)</t>
  </si>
  <si>
    <t>(B)</t>
  </si>
  <si>
    <t>Annual kWh Assuming 4000 Hours</t>
  </si>
  <si>
    <t>Monthly kWh</t>
  </si>
  <si>
    <t>(C)</t>
  </si>
  <si>
    <t>(D)</t>
  </si>
  <si>
    <t>(E)</t>
  </si>
  <si>
    <t>(F)</t>
  </si>
  <si>
    <t>Adjusted Rate Per kWh (cents)</t>
  </si>
  <si>
    <t>E x B = F</t>
  </si>
  <si>
    <t>Percentage Change</t>
  </si>
  <si>
    <t>Calculated Revised Rate</t>
  </si>
  <si>
    <t>3.</t>
  </si>
  <si>
    <t>For Domestic Time of Use Rates the following will apply:</t>
  </si>
  <si>
    <t>On peak charges are twice the Regular Domestic tail block rate;</t>
  </si>
  <si>
    <t>Shoulder charges are equal to the Regular Domestic tail block rate;</t>
  </si>
  <si>
    <t>The off-peak charges are set using the following formula"</t>
  </si>
  <si>
    <t>A = Current kWh purchase price from NSPI</t>
  </si>
  <si>
    <t>B = kWh adjustment (in cents per kWh) due to FAM or DSM</t>
  </si>
  <si>
    <t>D = 4% loss factor</t>
  </si>
  <si>
    <t>Losses</t>
  </si>
  <si>
    <t>FAM Rider</t>
  </si>
  <si>
    <t>kWh</t>
  </si>
  <si>
    <t>Total Riders</t>
  </si>
  <si>
    <t>DMS Rider</t>
  </si>
  <si>
    <t>G = Adjustment to Municipal electric Consumption Rates as a result of DSM and FAM charges (cents per kWh)</t>
  </si>
  <si>
    <t>Total Proposed DSM and FAM Adjustment, cents per kWh</t>
  </si>
  <si>
    <t>Bill Impact Domestic Customer 750 kWh per month</t>
  </si>
  <si>
    <t>per KWH</t>
  </si>
  <si>
    <t>DSM &amp; FAM Adjustment ($/kWh)</t>
  </si>
  <si>
    <t>KWh adjustment for DSM &amp; FAM, cents per kWh</t>
  </si>
  <si>
    <t>Average</t>
  </si>
  <si>
    <t xml:space="preserve">Actual sales </t>
  </si>
  <si>
    <t>Revenue</t>
  </si>
  <si>
    <t>Actual sales</t>
  </si>
  <si>
    <t>Before DSM and FAM</t>
  </si>
  <si>
    <t>Factor</t>
  </si>
  <si>
    <t>DSM&amp; FAM</t>
  </si>
  <si>
    <t>A x D = C</t>
  </si>
  <si>
    <t>C + B = E</t>
  </si>
  <si>
    <t>C = Loss adjusted kWh price from NSPI</t>
  </si>
  <si>
    <t>Exhibit 2</t>
  </si>
  <si>
    <t>TOWN OF LUNENBURG ELECTRIC UTILITY</t>
  </si>
  <si>
    <t>Load Forecast</t>
  </si>
  <si>
    <t>Connections</t>
  </si>
  <si>
    <t>Projected</t>
  </si>
  <si>
    <t>Test Year</t>
  </si>
  <si>
    <t>2022/23</t>
  </si>
  <si>
    <t>2023/24</t>
  </si>
  <si>
    <t>% Growth</t>
  </si>
  <si>
    <t>2024/25</t>
  </si>
  <si>
    <t>2025/26</t>
  </si>
  <si>
    <t>Domestic Standard</t>
  </si>
  <si>
    <t>Domestic Time of Day</t>
  </si>
  <si>
    <t>Small General Service</t>
  </si>
  <si>
    <t>General Service</t>
  </si>
  <si>
    <t>Large General Service</t>
  </si>
  <si>
    <t>Unmetered Loads incl Street Light</t>
  </si>
  <si>
    <t>TOTAL</t>
  </si>
  <si>
    <t>Energy - kWh</t>
  </si>
  <si>
    <t>Coincident Peak (CP) Demand - kW</t>
  </si>
  <si>
    <t>Source: Compliance Filing M12179</t>
  </si>
  <si>
    <t>FAM Balance</t>
  </si>
  <si>
    <t>FAM</t>
  </si>
  <si>
    <t>Balance</t>
  </si>
  <si>
    <t>Rate</t>
  </si>
  <si>
    <t>Energy Cost</t>
  </si>
  <si>
    <t>Excl DSM and FAM</t>
  </si>
  <si>
    <t>DSM</t>
  </si>
  <si>
    <t>DSM Rate</t>
  </si>
  <si>
    <t>Fiscal year April 1, 2023 to March 31, 2024</t>
  </si>
  <si>
    <t>Cost of Power as % of Rev</t>
  </si>
  <si>
    <t>Purchases April to Dec</t>
  </si>
  <si>
    <t>% Purchases April to Dec</t>
  </si>
  <si>
    <t>Fiscal year April 1, 2024 to March 31, 2025</t>
  </si>
  <si>
    <t>Losses as % of Purchases</t>
  </si>
  <si>
    <t>(10.133 + 0.628 DSM rider &amp; 0.105 FAM rider &amp; 0.002 SCRR rider)</t>
  </si>
  <si>
    <t>Jan.1/24</t>
  </si>
  <si>
    <t>Feb.18/24</t>
  </si>
  <si>
    <t>after Apr.17/24 (10.133 + 0.639 DSM rider &amp; 0.105 FAM rider)</t>
  </si>
  <si>
    <t>2025?</t>
  </si>
  <si>
    <t xml:space="preserve">Fiscal period April 1, 2025 to March 31, 2026 </t>
  </si>
  <si>
    <t>Feb.18/25</t>
  </si>
  <si>
    <t>(10.133 + 0.628 DSM rider &amp; 0.523 FAM rider &amp; 0.002 SCRR rider)</t>
  </si>
  <si>
    <t>Jan.1/25</t>
  </si>
  <si>
    <t>(10.133 + 0.628 DSM rider &amp; 0.523 FAM rider &amp; 0.00 SCRR rider)</t>
  </si>
  <si>
    <t>NSP Cyber Attack - April, billed May 7th</t>
  </si>
  <si>
    <t>meter change</t>
  </si>
  <si>
    <t>Forecast</t>
  </si>
  <si>
    <t>Feb and Mar as % of Annual</t>
  </si>
  <si>
    <t>"2023/24</t>
  </si>
  <si>
    <t>"2024/25</t>
  </si>
  <si>
    <t>Growth</t>
  </si>
  <si>
    <t>Assumes revenue at pre GRA rates</t>
  </si>
  <si>
    <t>Assumes 50% at old rates, 50% at rates approved by GRA</t>
  </si>
  <si>
    <t>Test Year Load Forecast</t>
  </si>
  <si>
    <t>As Projected in GRA, M12179</t>
  </si>
  <si>
    <t>Variance</t>
  </si>
  <si>
    <t>Forecast Over</t>
  </si>
  <si>
    <t>25/26 Actual</t>
  </si>
  <si>
    <t>2026/27</t>
  </si>
  <si>
    <t>Revised Growth</t>
  </si>
  <si>
    <t>Over Actual</t>
  </si>
  <si>
    <t>Line losses per GRA</t>
  </si>
  <si>
    <t>Line losses 2023/24</t>
  </si>
  <si>
    <t>Line Losses 2024/25</t>
  </si>
  <si>
    <t>Line Losses 2025/2026</t>
  </si>
  <si>
    <t>Average of These Values</t>
  </si>
  <si>
    <t>Estimated kWh Purchases 2026/27</t>
  </si>
  <si>
    <t>Losses as Percentage of Purchases</t>
  </si>
  <si>
    <t>Estimated Annual Peak Occurring Jan 2027</t>
  </si>
  <si>
    <t>KW</t>
  </si>
  <si>
    <t>kW</t>
  </si>
  <si>
    <t>April to December, 2026</t>
  </si>
  <si>
    <t>January to March, 2027</t>
  </si>
  <si>
    <t>April to December, 2027</t>
  </si>
  <si>
    <t>April to Dec</t>
  </si>
  <si>
    <t>Jan to Mar</t>
  </si>
  <si>
    <t>Rates Included in GRA**</t>
  </si>
  <si>
    <t>**Assumption that there would be a rate increase effective January 1, 2026</t>
  </si>
  <si>
    <t>2026/27 Purchases:</t>
  </si>
  <si>
    <t>Billed Demand</t>
  </si>
  <si>
    <t>Demand Cost</t>
  </si>
  <si>
    <t>DSM &amp; FAM</t>
  </si>
  <si>
    <t>Total COP</t>
  </si>
  <si>
    <t>Average Revenue per kWh</t>
  </si>
  <si>
    <t>Billing Determinants</t>
  </si>
  <si>
    <t>Rate Effective October 1, 2025</t>
  </si>
  <si>
    <t>GRA Billing Determinants</t>
  </si>
  <si>
    <t>Revenue at Current Rates</t>
  </si>
  <si>
    <t>Revenue at New Rates</t>
  </si>
  <si>
    <t>Total kWh</t>
  </si>
  <si>
    <t>Change</t>
  </si>
  <si>
    <t>from GRA</t>
  </si>
  <si>
    <t>This is the % increase for the Town of Lunenburg customers, applied to demand and energy charges for 2026/27.</t>
  </si>
  <si>
    <t>(for DSM and FAM)</t>
  </si>
  <si>
    <t>W LED</t>
  </si>
  <si>
    <t>Rate per kWh</t>
  </si>
  <si>
    <t>Flow Through per kWh</t>
  </si>
  <si>
    <t>Rate Revised for Flow Through per kWh</t>
  </si>
  <si>
    <t>Adjustment Monthly Rate per Lamp</t>
  </si>
  <si>
    <t>Data updated for April 30 figures.</t>
  </si>
  <si>
    <t>Domestic</t>
  </si>
  <si>
    <t>SM General</t>
  </si>
  <si>
    <t>Total Commercial</t>
  </si>
  <si>
    <t>FMH/Stelia</t>
  </si>
  <si>
    <t>23 24</t>
  </si>
  <si>
    <t>TOU/SGO</t>
  </si>
  <si>
    <t>24 25</t>
  </si>
  <si>
    <t>25 26</t>
  </si>
  <si>
    <t>Unmetered</t>
  </si>
  <si>
    <t>Actual YOY</t>
  </si>
  <si>
    <t>KWH consumption Summary</t>
  </si>
  <si>
    <t>Number of Accounts</t>
  </si>
  <si>
    <t>GRA</t>
  </si>
  <si>
    <t>Purchases May to Dec</t>
  </si>
  <si>
    <t>% Purchases May to Dec</t>
  </si>
  <si>
    <t>2026 and 2027 NSPI Municipal Rates M12451, Effective May 1, 2026 and Jan 1, 2027</t>
  </si>
  <si>
    <t>Effective May 1 2026</t>
  </si>
  <si>
    <t>May-Dec</t>
  </si>
  <si>
    <t>May to Dec</t>
  </si>
  <si>
    <t>Average May to Dec</t>
  </si>
  <si>
    <t>Percentage Change in Demand and Energy Costs</t>
  </si>
  <si>
    <t>Percentage Change in DSM and FAM Costs</t>
  </si>
  <si>
    <t>January 1, 2027  Cost of Power Increase</t>
  </si>
  <si>
    <t>Effective Jan 1 2027</t>
  </si>
  <si>
    <t>Percentage Change all Rate Components</t>
  </si>
  <si>
    <t>Board Order Dated April 30, 2026</t>
  </si>
  <si>
    <t>Computation for Pass Through of DSM and FAM Adder</t>
  </si>
  <si>
    <t>Town of Lunenburg Electric Utility - Test Period Year Ended March 31, 2027</t>
  </si>
  <si>
    <t>Test Year 2026/27</t>
  </si>
  <si>
    <t>Calendar 2027</t>
  </si>
  <si>
    <t>A = Forecasted power purchase cost from NSPI for the test period, before increase</t>
  </si>
  <si>
    <t>Approved Rate without Cap</t>
  </si>
  <si>
    <t>Effect of Cap</t>
  </si>
  <si>
    <t>Revenue at Rates without Cap</t>
  </si>
  <si>
    <t>Summary of Revenue at Rates</t>
  </si>
  <si>
    <t>Domestic Service (Standard)</t>
  </si>
  <si>
    <t>Street and Yard Lighting</t>
  </si>
  <si>
    <t>Large</t>
  </si>
  <si>
    <t>Calculated Revised Rate without Cap</t>
  </si>
  <si>
    <t>Rate Adjusted for Cap</t>
  </si>
  <si>
    <t>Previous</t>
  </si>
  <si>
    <t>New</t>
  </si>
  <si>
    <t>Net Effect</t>
  </si>
  <si>
    <t>Rate Effective October 1, 2025 No Cap</t>
  </si>
  <si>
    <t>Proposed Rate</t>
  </si>
  <si>
    <t>Town of Lunenburg Electric Utility - Test Year Calendar 2027</t>
  </si>
  <si>
    <t>A = Forecasted power purchase cost from NSPI for the test year, at 2026 rates</t>
  </si>
  <si>
    <t>B = Forecasted Electric Rate Revenue from the above classes for the test year at 2026 rates, assuming cap removal approved</t>
  </si>
  <si>
    <t>Rate Asssumed Effective August 1, 2026, Cap Removed</t>
  </si>
  <si>
    <t>Prior Year</t>
  </si>
  <si>
    <t>New Year</t>
  </si>
  <si>
    <t>Net Change</t>
  </si>
  <si>
    <t>Dollar Change in Cost of Power</t>
  </si>
  <si>
    <t>Proposed Effective January 1, 2027</t>
  </si>
  <si>
    <t>B = Forecasted Electric Rate Revenue from the above classes for the test year for rates subject to flow through adjustment, at rates without cap</t>
  </si>
  <si>
    <t>Total Revenues</t>
  </si>
  <si>
    <t>Less Fixed Chgs</t>
  </si>
  <si>
    <t>Current Revenue from Fixed Charges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</si>
</sst>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_);_(@_)"/>
    <numFmt numFmtId="165" formatCode="_(&quot;$&quot;* #,##0.00000_);_(&quot;$&quot;* \(#,##0.00000\);_(&quot;$&quot;* &quot;-&quot;??_);_(@_)"/>
    <numFmt numFmtId="166" formatCode="_(* #,##0_);_(* \(#,##0\);_(* &quot;-&quot;?_);_(@_)"/>
    <numFmt numFmtId="167" formatCode="_(* #,##0.0_);_(* \(#,##0.0\);_(* &quot;-&quot;_);_(@_)"/>
    <numFmt numFmtId="168" formatCode="_(&quot;$&quot;* #,##0_);_(&quot;$&quot;* \(#,##0\);_(&quot;$&quot;* &quot;-&quot;??_);_(@_)"/>
    <numFmt numFmtId="169" formatCode="0.000"/>
    <numFmt numFmtId="170" formatCode="0.00000"/>
    <numFmt numFmtId="171" formatCode="_(* #,##0.000_);_(* \(#,##0.000\);_(* &quot;-&quot;??_);_(@_)"/>
    <numFmt numFmtId="172" formatCode="_(* #,##0_);_(* \(#,##0\);_(* &quot;-&quot;??_);_(@_)"/>
    <numFmt numFmtId="173" formatCode="0.0%"/>
    <numFmt numFmtId="174" formatCode="0.000%"/>
    <numFmt numFmtId="175" formatCode="_(* #,##0.00_);_(* \(#,##0.00\);_(* &quot;-&quot;_);_(@_)"/>
    <numFmt numFmtId="176" formatCode="_(* #,##0.0000_);_(* \(#,##0.0000\);_(* &quot;-&quot;?_);_(@_)"/>
    <numFmt numFmtId="177" formatCode="_(* #,##0.0000_);_(* \(#,##0.0000\);_(* &quot;-&quot;??_);_(@_)"/>
    <numFmt numFmtId="178" formatCode="_(* #,##0.00000_);_(* \(#,##0.00000\);_(* &quot;-&quot;??_);_(@_)"/>
    <numFmt numFmtId="179" formatCode="_(* #,##0.00000_);_(* \(#,##0.00000\);_(* &quot;-&quot;?_);_(@_)"/>
    <numFmt numFmtId="180" formatCode="_(&quot;$&quot;* #,##0.000_);_(&quot;$&quot;* \(#,##0.000\);_(&quot;$&quot;* &quot;-&quot;??_);_(@_)"/>
    <numFmt numFmtId="181" formatCode="_(&quot;$&quot;* #,##0.000000_);_(&quot;$&quot;* \(#,##0.000000\);_(&quot;$&quot;* &quot;-&quot;??_);_(@_)"/>
    <numFmt numFmtId="182" formatCode="_-* #,##0.0000_-;\-* #,##0.0000_-;_-* &quot;-&quot;??_-;_-@_-"/>
    <numFmt numFmtId="183" formatCode="_-* #,##0_-;\-* #,##0_-;_-* &quot;-&quot;??_-;_-@_-"/>
    <numFmt numFmtId="184" formatCode="_-&quot;$&quot;* #,##0.00_-;\-&quot;$&quot;* #,##0.00_-;_-&quot;$&quot;* &quot;-&quot;??_-;_-@_-"/>
    <numFmt numFmtId="185" formatCode="_(* #,##0.000_);_(* \(#,##0.000\);_(* &quot;-&quot;?_);_(@_)"/>
    <numFmt numFmtId="186" formatCode="_(* #,##0.00_);_(* \(#,##0.00\);_(* &quot;-&quot;?_);_(@_)"/>
    <numFmt numFmtId="187" formatCode="_(&quot;$&quot;* #,##0.0000_);_(&quot;$&quot;* \(#,##0.0000\);_(&quot;$&quot;* &quot;-&quot;??_);_(@_)"/>
    <numFmt numFmtId="188" formatCode="&quot;$&quot;#,##0.000_);[Red]\(&quot;$&quot;#,##0.000\)"/>
    <numFmt numFmtId="189" formatCode="_(&quot;$&quot;* #,##0.00000_);_(&quot;$&quot;* \(#,##0.00000\);_(&quot;$&quot;* &quot;-&quot;?????_);_(@_)"/>
    <numFmt numFmtId="190" formatCode="0.0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2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0"/>
      <name val="Arial"/>
    </font>
    <font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48">
    <xf numFmtId="0" fontId="0" fillId="0" borderId="0" xfId="0"/>
    <xf numFmtId="0" fontId="3" fillId="0" borderId="0" xfId="0" applyFont="1"/>
    <xf numFmtId="41" fontId="0" fillId="0" borderId="0" xfId="0" applyNumberFormat="1"/>
    <xf numFmtId="164" fontId="1" fillId="0" borderId="0" xfId="1" applyNumberFormat="1"/>
    <xf numFmtId="0" fontId="3" fillId="0" borderId="0" xfId="0" quotePrefix="1" applyFont="1"/>
    <xf numFmtId="165" fontId="1" fillId="0" borderId="0" xfId="2" applyNumberFormat="1"/>
    <xf numFmtId="164" fontId="0" fillId="0" borderId="0" xfId="1" applyNumberFormat="1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7" fontId="0" fillId="0" borderId="0" xfId="0" applyNumberFormat="1" applyAlignment="1">
      <alignment horizontal="left"/>
    </xf>
    <xf numFmtId="166" fontId="1" fillId="0" borderId="0" xfId="1" applyNumberFormat="1"/>
    <xf numFmtId="164" fontId="4" fillId="0" borderId="0" xfId="1" applyNumberFormat="1" applyFont="1"/>
    <xf numFmtId="164" fontId="1" fillId="0" borderId="0" xfId="1" applyNumberFormat="1" applyFill="1"/>
    <xf numFmtId="41" fontId="0" fillId="0" borderId="2" xfId="0" applyNumberFormat="1" applyBorder="1"/>
    <xf numFmtId="167" fontId="0" fillId="0" borderId="2" xfId="0" applyNumberFormat="1" applyBorder="1"/>
    <xf numFmtId="0" fontId="5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6" fillId="0" borderId="0" xfId="0" applyFont="1" applyAlignment="1">
      <alignment vertical="top"/>
    </xf>
    <xf numFmtId="41" fontId="0" fillId="0" borderId="0" xfId="0" applyNumberFormat="1" applyAlignment="1">
      <alignment vertical="top"/>
    </xf>
    <xf numFmtId="0" fontId="4" fillId="0" borderId="0" xfId="0" applyFont="1"/>
    <xf numFmtId="41" fontId="4" fillId="0" borderId="0" xfId="0" applyNumberFormat="1" applyFont="1"/>
    <xf numFmtId="10" fontId="1" fillId="0" borderId="0" xfId="3" applyNumberFormat="1"/>
    <xf numFmtId="10" fontId="0" fillId="0" borderId="0" xfId="3" applyNumberFormat="1" applyFont="1"/>
    <xf numFmtId="164" fontId="2" fillId="0" borderId="0" xfId="1" applyNumberFormat="1" applyFont="1" applyAlignment="1">
      <alignment horizontal="center"/>
    </xf>
    <xf numFmtId="0" fontId="2" fillId="0" borderId="0" xfId="0" applyFont="1" applyAlignment="1">
      <alignment horizontal="center"/>
    </xf>
    <xf numFmtId="168" fontId="6" fillId="0" borderId="0" xfId="2" applyNumberFormat="1" applyFont="1" applyFill="1" applyAlignment="1">
      <alignment vertical="top"/>
    </xf>
    <xf numFmtId="168" fontId="4" fillId="0" borderId="3" xfId="2" applyNumberFormat="1" applyFont="1" applyBorder="1"/>
    <xf numFmtId="168" fontId="1" fillId="0" borderId="0" xfId="2" applyNumberFormat="1"/>
    <xf numFmtId="168" fontId="1" fillId="0" borderId="3" xfId="2" applyNumberFormat="1" applyBorder="1"/>
    <xf numFmtId="165" fontId="0" fillId="0" borderId="0" xfId="2" applyNumberFormat="1" applyFont="1"/>
    <xf numFmtId="169" fontId="0" fillId="0" borderId="0" xfId="0" applyNumberFormat="1"/>
    <xf numFmtId="0" fontId="3" fillId="0" borderId="0" xfId="0" applyFont="1" applyAlignment="1">
      <alignment horizontal="center"/>
    </xf>
    <xf numFmtId="0" fontId="2" fillId="0" borderId="0" xfId="0" applyFont="1"/>
    <xf numFmtId="43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3" applyNumberFormat="1" applyFont="1"/>
    <xf numFmtId="174" fontId="0" fillId="0" borderId="0" xfId="0" applyNumberFormat="1"/>
    <xf numFmtId="0" fontId="4" fillId="0" borderId="0" xfId="0" quotePrefix="1" applyFont="1"/>
    <xf numFmtId="175" fontId="0" fillId="0" borderId="0" xfId="0" applyNumberFormat="1"/>
    <xf numFmtId="164" fontId="3" fillId="0" borderId="0" xfId="1" applyNumberFormat="1" applyFont="1"/>
    <xf numFmtId="164" fontId="4" fillId="0" borderId="0" xfId="1" applyNumberFormat="1" applyFont="1" applyAlignment="1">
      <alignment horizontal="center" wrapText="1"/>
    </xf>
    <xf numFmtId="0" fontId="4" fillId="0" borderId="0" xfId="0" applyFont="1" applyAlignment="1">
      <alignment horizontal="center" wrapText="1"/>
    </xf>
    <xf numFmtId="171" fontId="1" fillId="0" borderId="0" xfId="1" applyNumberFormat="1"/>
    <xf numFmtId="0" fontId="4" fillId="0" borderId="0" xfId="0" applyFont="1" applyAlignment="1">
      <alignment horizontal="left" indent="1"/>
    </xf>
    <xf numFmtId="176" fontId="1" fillId="0" borderId="0" xfId="1" applyNumberFormat="1"/>
    <xf numFmtId="177" fontId="0" fillId="0" borderId="0" xfId="1" applyNumberFormat="1" applyFont="1"/>
    <xf numFmtId="44" fontId="0" fillId="0" borderId="0" xfId="2" applyFont="1"/>
    <xf numFmtId="178" fontId="0" fillId="0" borderId="0" xfId="0" applyNumberFormat="1"/>
    <xf numFmtId="179" fontId="1" fillId="0" borderId="0" xfId="1" applyNumberFormat="1"/>
    <xf numFmtId="0" fontId="4" fillId="0" borderId="0" xfId="0" applyFont="1" applyAlignment="1">
      <alignment horizontal="left" indent="2"/>
    </xf>
    <xf numFmtId="178" fontId="0" fillId="0" borderId="0" xfId="1" applyNumberFormat="1" applyFont="1"/>
    <xf numFmtId="0" fontId="0" fillId="0" borderId="0" xfId="0" applyAlignment="1">
      <alignment horizontal="left" indent="2"/>
    </xf>
    <xf numFmtId="41" fontId="0" fillId="0" borderId="0" xfId="0" applyNumberFormat="1" applyAlignment="1">
      <alignment horizontal="left" indent="2"/>
    </xf>
    <xf numFmtId="178" fontId="4" fillId="0" borderId="0" xfId="0" applyNumberFormat="1" applyFont="1"/>
    <xf numFmtId="178" fontId="1" fillId="0" borderId="0" xfId="1" applyNumberFormat="1"/>
    <xf numFmtId="172" fontId="0" fillId="0" borderId="0" xfId="1" applyNumberFormat="1" applyFont="1"/>
    <xf numFmtId="174" fontId="3" fillId="0" borderId="0" xfId="3" applyNumberFormat="1" applyFont="1" applyAlignment="1">
      <alignment horizontal="right"/>
    </xf>
    <xf numFmtId="174" fontId="0" fillId="0" borderId="0" xfId="3" applyNumberFormat="1" applyFont="1"/>
    <xf numFmtId="3" fontId="7" fillId="0" borderId="0" xfId="0" applyNumberFormat="1" applyFont="1"/>
    <xf numFmtId="0" fontId="8" fillId="0" borderId="0" xfId="0" applyFont="1"/>
    <xf numFmtId="0" fontId="0" fillId="0" borderId="0" xfId="0" applyAlignment="1">
      <alignment horizontal="center" wrapText="1"/>
    </xf>
    <xf numFmtId="0" fontId="2" fillId="0" borderId="0" xfId="0" quotePrefix="1" applyFont="1" applyAlignment="1">
      <alignment horizontal="center"/>
    </xf>
    <xf numFmtId="44" fontId="1" fillId="0" borderId="0" xfId="2"/>
    <xf numFmtId="43" fontId="1" fillId="0" borderId="0" xfId="1"/>
    <xf numFmtId="43" fontId="0" fillId="0" borderId="0" xfId="1" applyFont="1"/>
    <xf numFmtId="9" fontId="4" fillId="0" borderId="0" xfId="3" applyFont="1"/>
    <xf numFmtId="10" fontId="4" fillId="0" borderId="0" xfId="3" applyNumberFormat="1" applyFont="1"/>
    <xf numFmtId="164" fontId="3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78" fontId="2" fillId="0" borderId="0" xfId="1" applyNumberFormat="1" applyFont="1" applyAlignment="1">
      <alignment horizontal="center" wrapText="1"/>
    </xf>
    <xf numFmtId="171" fontId="2" fillId="0" borderId="0" xfId="0" applyNumberFormat="1" applyFont="1" applyAlignment="1">
      <alignment horizontal="center" wrapText="1"/>
    </xf>
    <xf numFmtId="171" fontId="2" fillId="0" borderId="0" xfId="0" applyNumberFormat="1" applyFont="1"/>
    <xf numFmtId="170" fontId="0" fillId="0" borderId="0" xfId="0" applyNumberFormat="1"/>
    <xf numFmtId="171" fontId="0" fillId="0" borderId="0" xfId="0" applyNumberFormat="1" applyAlignment="1">
      <alignment horizontal="right"/>
    </xf>
    <xf numFmtId="165" fontId="0" fillId="0" borderId="0" xfId="0" applyNumberFormat="1"/>
    <xf numFmtId="165" fontId="0" fillId="0" borderId="0" xfId="2" applyNumberFormat="1" applyFont="1" applyAlignment="1">
      <alignment horizontal="left" indent="2"/>
    </xf>
    <xf numFmtId="9" fontId="1" fillId="0" borderId="0" xfId="3"/>
    <xf numFmtId="3" fontId="0" fillId="0" borderId="0" xfId="0" applyNumberFormat="1"/>
    <xf numFmtId="177" fontId="0" fillId="0" borderId="0" xfId="0" applyNumberFormat="1"/>
    <xf numFmtId="0" fontId="3" fillId="2" borderId="4" xfId="0" applyFont="1" applyFill="1" applyBorder="1"/>
    <xf numFmtId="0" fontId="3" fillId="2" borderId="5" xfId="0" applyFont="1" applyFill="1" applyBorder="1" applyAlignment="1">
      <alignment horizontal="center"/>
    </xf>
    <xf numFmtId="0" fontId="0" fillId="2" borderId="6" xfId="0" applyFill="1" applyBorder="1"/>
    <xf numFmtId="0" fontId="0" fillId="2" borderId="0" xfId="0" applyFill="1"/>
    <xf numFmtId="0" fontId="0" fillId="2" borderId="6" xfId="0" applyFill="1" applyBorder="1" applyAlignment="1">
      <alignment horizontal="left"/>
    </xf>
    <xf numFmtId="0" fontId="4" fillId="2" borderId="6" xfId="0" applyFont="1" applyFill="1" applyBorder="1"/>
    <xf numFmtId="10" fontId="0" fillId="2" borderId="1" xfId="0" applyNumberFormat="1" applyFill="1" applyBorder="1"/>
    <xf numFmtId="0" fontId="0" fillId="2" borderId="7" xfId="0" applyFill="1" applyBorder="1" applyAlignment="1">
      <alignment wrapText="1"/>
    </xf>
    <xf numFmtId="0" fontId="0" fillId="2" borderId="1" xfId="0" applyFill="1" applyBorder="1" applyAlignment="1">
      <alignment wrapText="1"/>
    </xf>
    <xf numFmtId="169" fontId="2" fillId="0" borderId="0" xfId="0" applyNumberFormat="1" applyFont="1"/>
    <xf numFmtId="178" fontId="0" fillId="0" borderId="0" xfId="0" applyNumberFormat="1" applyAlignment="1">
      <alignment horizontal="right"/>
    </xf>
    <xf numFmtId="44" fontId="0" fillId="0" borderId="0" xfId="0" applyNumberFormat="1"/>
    <xf numFmtId="0" fontId="9" fillId="0" borderId="0" xfId="0" applyFont="1"/>
    <xf numFmtId="180" fontId="1" fillId="0" borderId="0" xfId="2" applyNumberFormat="1"/>
    <xf numFmtId="41" fontId="0" fillId="0" borderId="0" xfId="0" applyNumberFormat="1" applyAlignment="1">
      <alignment horizontal="center"/>
    </xf>
    <xf numFmtId="164" fontId="1" fillId="0" borderId="0" xfId="1" applyNumberFormat="1" applyAlignment="1">
      <alignment horizontal="center"/>
    </xf>
    <xf numFmtId="41" fontId="0" fillId="0" borderId="1" xfId="0" applyNumberFormat="1" applyBorder="1" applyAlignment="1">
      <alignment horizontal="center"/>
    </xf>
    <xf numFmtId="164" fontId="1" fillId="0" borderId="1" xfId="1" applyNumberFormat="1" applyBorder="1" applyAlignment="1">
      <alignment horizontal="center"/>
    </xf>
    <xf numFmtId="44" fontId="1" fillId="0" borderId="3" xfId="2" applyBorder="1"/>
    <xf numFmtId="165" fontId="1" fillId="0" borderId="3" xfId="2" applyNumberFormat="1" applyBorder="1"/>
    <xf numFmtId="0" fontId="10" fillId="0" borderId="0" xfId="0" applyFont="1"/>
    <xf numFmtId="0" fontId="11" fillId="0" borderId="0" xfId="0" applyFont="1"/>
    <xf numFmtId="49" fontId="0" fillId="0" borderId="0" xfId="0" applyNumberFormat="1" applyAlignment="1">
      <alignment horizontal="left"/>
    </xf>
    <xf numFmtId="49" fontId="0" fillId="0" borderId="0" xfId="2" applyNumberFormat="1" applyFont="1" applyAlignment="1">
      <alignment horizontal="left"/>
    </xf>
    <xf numFmtId="0" fontId="3" fillId="0" borderId="0" xfId="0" applyFont="1" applyAlignment="1">
      <alignment horizontal="center" vertical="top"/>
    </xf>
    <xf numFmtId="181" fontId="0" fillId="0" borderId="0" xfId="0" applyNumberFormat="1"/>
    <xf numFmtId="0" fontId="0" fillId="3" borderId="0" xfId="0" applyFill="1"/>
    <xf numFmtId="170" fontId="0" fillId="3" borderId="0" xfId="0" applyNumberFormat="1" applyFill="1"/>
    <xf numFmtId="9" fontId="0" fillId="3" borderId="0" xfId="0" applyNumberFormat="1" applyFill="1"/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  <xf numFmtId="165" fontId="0" fillId="3" borderId="0" xfId="0" applyNumberFormat="1" applyFill="1"/>
    <xf numFmtId="165" fontId="0" fillId="3" borderId="0" xfId="2" applyNumberFormat="1" applyFont="1" applyFill="1"/>
    <xf numFmtId="0" fontId="2" fillId="0" borderId="0" xfId="0" applyFont="1" applyAlignment="1">
      <alignment horizontal="center" vertical="top"/>
    </xf>
    <xf numFmtId="172" fontId="0" fillId="0" borderId="0" xfId="1" applyNumberFormat="1" applyFont="1" applyFill="1" applyAlignment="1">
      <alignment vertical="top"/>
    </xf>
    <xf numFmtId="172" fontId="4" fillId="0" borderId="3" xfId="1" applyNumberFormat="1" applyFont="1" applyFill="1" applyBorder="1"/>
    <xf numFmtId="0" fontId="12" fillId="0" borderId="0" xfId="0" quotePrefix="1" applyFont="1"/>
    <xf numFmtId="10" fontId="0" fillId="0" borderId="0" xfId="0" applyNumberFormat="1"/>
    <xf numFmtId="0" fontId="13" fillId="0" borderId="0" xfId="0" applyFont="1" applyAlignment="1">
      <alignment vertical="top"/>
    </xf>
    <xf numFmtId="0" fontId="13" fillId="0" borderId="0" xfId="0" applyFont="1"/>
    <xf numFmtId="0" fontId="14" fillId="0" borderId="0" xfId="0" applyFont="1" applyAlignment="1">
      <alignment vertical="top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 wrapText="1"/>
    </xf>
    <xf numFmtId="0" fontId="16" fillId="0" borderId="1" xfId="0" applyFont="1" applyBorder="1" applyAlignment="1">
      <alignment horizontal="center"/>
    </xf>
    <xf numFmtId="3" fontId="17" fillId="0" borderId="0" xfId="0" applyNumberFormat="1" applyFont="1" applyAlignment="1">
      <alignment horizontal="right"/>
    </xf>
    <xf numFmtId="173" fontId="0" fillId="0" borderId="0" xfId="3" applyNumberFormat="1" applyFont="1" applyFill="1" applyAlignment="1">
      <alignment horizontal="center"/>
    </xf>
    <xf numFmtId="3" fontId="16" fillId="0" borderId="5" xfId="0" applyNumberFormat="1" applyFont="1" applyBorder="1" applyAlignment="1">
      <alignment horizontal="right"/>
    </xf>
    <xf numFmtId="173" fontId="0" fillId="0" borderId="5" xfId="3" applyNumberFormat="1" applyFont="1" applyFill="1" applyBorder="1" applyAlignment="1">
      <alignment horizontal="center"/>
    </xf>
    <xf numFmtId="173" fontId="0" fillId="0" borderId="0" xfId="3" applyNumberFormat="1" applyFont="1" applyFill="1" applyBorder="1" applyAlignment="1">
      <alignment horizontal="center"/>
    </xf>
    <xf numFmtId="182" fontId="0" fillId="0" borderId="0" xfId="0" applyNumberFormat="1"/>
    <xf numFmtId="183" fontId="0" fillId="0" borderId="0" xfId="0" applyNumberFormat="1"/>
    <xf numFmtId="173" fontId="0" fillId="0" borderId="0" xfId="0" applyNumberFormat="1"/>
    <xf numFmtId="3" fontId="16" fillId="0" borderId="0" xfId="0" applyNumberFormat="1" applyFont="1"/>
    <xf numFmtId="173" fontId="16" fillId="0" borderId="0" xfId="0" applyNumberFormat="1" applyFont="1"/>
    <xf numFmtId="183" fontId="16" fillId="0" borderId="0" xfId="0" applyNumberFormat="1" applyFont="1" applyAlignment="1">
      <alignment horizontal="center"/>
    </xf>
    <xf numFmtId="4" fontId="0" fillId="0" borderId="0" xfId="0" applyNumberFormat="1"/>
    <xf numFmtId="0" fontId="18" fillId="0" borderId="0" xfId="0" applyFont="1"/>
    <xf numFmtId="0" fontId="16" fillId="0" borderId="0" xfId="0" applyFont="1" applyAlignment="1">
      <alignment wrapText="1"/>
    </xf>
    <xf numFmtId="168" fontId="0" fillId="0" borderId="0" xfId="0" applyNumberFormat="1"/>
    <xf numFmtId="185" fontId="1" fillId="0" borderId="0" xfId="1" applyNumberFormat="1"/>
    <xf numFmtId="167" fontId="0" fillId="0" borderId="5" xfId="0" applyNumberFormat="1" applyBorder="1"/>
    <xf numFmtId="0" fontId="19" fillId="0" borderId="0" xfId="4"/>
    <xf numFmtId="17" fontId="19" fillId="0" borderId="0" xfId="4" applyNumberFormat="1" applyAlignment="1">
      <alignment horizontal="left"/>
    </xf>
    <xf numFmtId="0" fontId="19" fillId="0" borderId="0" xfId="4" applyAlignment="1">
      <alignment horizontal="center"/>
    </xf>
    <xf numFmtId="0" fontId="19" fillId="0" borderId="1" xfId="4" applyBorder="1" applyAlignment="1">
      <alignment horizontal="center"/>
    </xf>
    <xf numFmtId="41" fontId="19" fillId="0" borderId="0" xfId="4" applyNumberFormat="1"/>
    <xf numFmtId="41" fontId="19" fillId="0" borderId="0" xfId="4" applyNumberFormat="1" applyAlignment="1">
      <alignment horizontal="center"/>
    </xf>
    <xf numFmtId="41" fontId="19" fillId="0" borderId="1" xfId="4" applyNumberFormat="1" applyBorder="1" applyAlignment="1">
      <alignment horizontal="center"/>
    </xf>
    <xf numFmtId="0" fontId="19" fillId="0" borderId="1" xfId="4" applyBorder="1"/>
    <xf numFmtId="164" fontId="4" fillId="0" borderId="0" xfId="6" applyNumberFormat="1"/>
    <xf numFmtId="44" fontId="4" fillId="0" borderId="0" xfId="8"/>
    <xf numFmtId="164" fontId="4" fillId="0" borderId="0" xfId="6" applyNumberFormat="1" applyAlignment="1">
      <alignment horizontal="center"/>
    </xf>
    <xf numFmtId="164" fontId="4" fillId="0" borderId="1" xfId="6" applyNumberFormat="1" applyBorder="1" applyAlignment="1">
      <alignment horizontal="center"/>
    </xf>
    <xf numFmtId="164" fontId="4" fillId="0" borderId="0" xfId="6" applyNumberFormat="1" applyFont="1"/>
    <xf numFmtId="166" fontId="4" fillId="0" borderId="0" xfId="6" applyNumberFormat="1"/>
    <xf numFmtId="168" fontId="4" fillId="0" borderId="3" xfId="8" applyNumberFormat="1" applyBorder="1"/>
    <xf numFmtId="41" fontId="19" fillId="0" borderId="2" xfId="4" applyNumberFormat="1" applyBorder="1"/>
    <xf numFmtId="164" fontId="4" fillId="0" borderId="0" xfId="6" applyNumberFormat="1" applyFill="1"/>
    <xf numFmtId="44" fontId="4" fillId="0" borderId="0" xfId="8" applyFill="1"/>
    <xf numFmtId="166" fontId="4" fillId="0" borderId="0" xfId="6" applyNumberFormat="1" applyFill="1"/>
    <xf numFmtId="164" fontId="4" fillId="0" borderId="0" xfId="6" applyNumberFormat="1" applyFont="1" applyFill="1"/>
    <xf numFmtId="165" fontId="1" fillId="0" borderId="0" xfId="2" applyNumberFormat="1" applyAlignment="1">
      <alignment horizontal="left"/>
    </xf>
    <xf numFmtId="165" fontId="1" fillId="0" borderId="0" xfId="2" applyNumberFormat="1" applyBorder="1"/>
    <xf numFmtId="164" fontId="0" fillId="0" borderId="0" xfId="0" applyNumberFormat="1" applyAlignment="1">
      <alignment vertical="top"/>
    </xf>
    <xf numFmtId="44" fontId="0" fillId="0" borderId="0" xfId="0" applyNumberFormat="1" applyAlignment="1">
      <alignment vertical="top"/>
    </xf>
    <xf numFmtId="184" fontId="0" fillId="0" borderId="0" xfId="0" applyNumberFormat="1" applyAlignment="1">
      <alignment vertical="top"/>
    </xf>
    <xf numFmtId="184" fontId="0" fillId="0" borderId="0" xfId="0" applyNumberFormat="1"/>
    <xf numFmtId="44" fontId="0" fillId="0" borderId="0" xfId="3" applyNumberFormat="1" applyFont="1"/>
    <xf numFmtId="41" fontId="1" fillId="0" borderId="0" xfId="3" applyNumberFormat="1"/>
    <xf numFmtId="10" fontId="2" fillId="0" borderId="0" xfId="3" applyNumberFormat="1" applyFont="1"/>
    <xf numFmtId="166" fontId="20" fillId="5" borderId="0" xfId="6" applyNumberFormat="1" applyFont="1" applyFill="1"/>
    <xf numFmtId="0" fontId="20" fillId="6" borderId="0" xfId="0" applyFont="1" applyFill="1"/>
    <xf numFmtId="164" fontId="4" fillId="0" borderId="0" xfId="6" quotePrefix="1" applyNumberFormat="1" applyFont="1"/>
    <xf numFmtId="0" fontId="20" fillId="0" borderId="0" xfId="0" applyFont="1"/>
    <xf numFmtId="0" fontId="0" fillId="6" borderId="0" xfId="0" applyFill="1"/>
    <xf numFmtId="167" fontId="0" fillId="0" borderId="0" xfId="0" applyNumberFormat="1"/>
    <xf numFmtId="168" fontId="1" fillId="0" borderId="0" xfId="2" applyNumberFormat="1" applyBorder="1"/>
    <xf numFmtId="168" fontId="4" fillId="0" borderId="0" xfId="8" applyNumberFormat="1" applyBorder="1"/>
    <xf numFmtId="165" fontId="4" fillId="0" borderId="0" xfId="8" applyNumberFormat="1" applyBorder="1"/>
    <xf numFmtId="41" fontId="6" fillId="0" borderId="0" xfId="2" applyNumberFormat="1" applyFont="1" applyFill="1" applyBorder="1" applyAlignment="1">
      <alignment vertical="top"/>
    </xf>
    <xf numFmtId="41" fontId="0" fillId="0" borderId="0" xfId="1" applyNumberFormat="1" applyFont="1" applyFill="1" applyAlignment="1">
      <alignment vertical="top"/>
    </xf>
    <xf numFmtId="173" fontId="1" fillId="0" borderId="0" xfId="3" applyNumberFormat="1"/>
    <xf numFmtId="41" fontId="4" fillId="0" borderId="0" xfId="1" applyNumberFormat="1" applyFont="1" applyFill="1" applyBorder="1"/>
    <xf numFmtId="41" fontId="1" fillId="0" borderId="0" xfId="1" applyNumberFormat="1"/>
    <xf numFmtId="164" fontId="0" fillId="0" borderId="0" xfId="0" applyNumberFormat="1"/>
    <xf numFmtId="17" fontId="1" fillId="0" borderId="0" xfId="2" applyNumberFormat="1"/>
    <xf numFmtId="41" fontId="1" fillId="0" borderId="0" xfId="2" applyNumberFormat="1"/>
    <xf numFmtId="166" fontId="0" fillId="0" borderId="0" xfId="0" applyNumberFormat="1"/>
    <xf numFmtId="17" fontId="0" fillId="0" borderId="0" xfId="0" applyNumberFormat="1"/>
    <xf numFmtId="186" fontId="1" fillId="0" borderId="0" xfId="1" applyNumberFormat="1"/>
    <xf numFmtId="165" fontId="1" fillId="0" borderId="0" xfId="2" applyNumberFormat="1" applyFill="1"/>
    <xf numFmtId="17" fontId="0" fillId="2" borderId="0" xfId="0" applyNumberFormat="1" applyFill="1"/>
    <xf numFmtId="41" fontId="0" fillId="2" borderId="0" xfId="0" applyNumberFormat="1" applyFill="1"/>
    <xf numFmtId="166" fontId="0" fillId="2" borderId="0" xfId="0" applyNumberFormat="1" applyFill="1"/>
    <xf numFmtId="164" fontId="4" fillId="2" borderId="0" xfId="6" applyNumberFormat="1" applyFill="1"/>
    <xf numFmtId="168" fontId="1" fillId="2" borderId="0" xfId="2" applyNumberFormat="1" applyFill="1"/>
    <xf numFmtId="165" fontId="1" fillId="2" borderId="0" xfId="2" applyNumberFormat="1" applyFill="1"/>
    <xf numFmtId="165" fontId="1" fillId="0" borderId="8" xfId="2" applyNumberFormat="1" applyBorder="1"/>
    <xf numFmtId="166" fontId="0" fillId="0" borderId="0" xfId="1" applyNumberFormat="1" applyFont="1" applyFill="1" applyAlignment="1">
      <alignment vertical="top"/>
    </xf>
    <xf numFmtId="172" fontId="6" fillId="0" borderId="0" xfId="2" applyNumberFormat="1" applyFont="1" applyFill="1" applyBorder="1" applyAlignment="1">
      <alignment vertical="top"/>
    </xf>
    <xf numFmtId="3" fontId="2" fillId="0" borderId="0" xfId="0" applyNumberFormat="1" applyFont="1"/>
    <xf numFmtId="173" fontId="2" fillId="0" borderId="0" xfId="3" applyNumberFormat="1" applyFont="1"/>
    <xf numFmtId="0" fontId="16" fillId="0" borderId="0" xfId="0" quotePrefix="1" applyFont="1" applyAlignment="1">
      <alignment horizontal="center"/>
    </xf>
    <xf numFmtId="165" fontId="0" fillId="2" borderId="0" xfId="0" applyNumberFormat="1" applyFill="1"/>
    <xf numFmtId="0" fontId="4" fillId="2" borderId="0" xfId="0" applyFont="1" applyFill="1"/>
    <xf numFmtId="0" fontId="3" fillId="2" borderId="0" xfId="0" applyFont="1" applyFill="1" applyAlignment="1">
      <alignment horizontal="center" wrapText="1"/>
    </xf>
    <xf numFmtId="0" fontId="3" fillId="2" borderId="6" xfId="0" applyFont="1" applyFill="1" applyBorder="1"/>
    <xf numFmtId="0" fontId="3" fillId="2" borderId="0" xfId="0" applyFont="1" applyFill="1" applyAlignment="1">
      <alignment horizontal="center"/>
    </xf>
    <xf numFmtId="172" fontId="0" fillId="0" borderId="3" xfId="0" applyNumberFormat="1" applyBorder="1"/>
    <xf numFmtId="172" fontId="2" fillId="0" borderId="3" xfId="0" applyNumberFormat="1" applyFont="1" applyBorder="1"/>
    <xf numFmtId="187" fontId="4" fillId="0" borderId="0" xfId="2" applyNumberFormat="1" applyFont="1" applyFill="1" applyBorder="1"/>
    <xf numFmtId="174" fontId="2" fillId="0" borderId="0" xfId="0" applyNumberFormat="1" applyFont="1"/>
    <xf numFmtId="183" fontId="0" fillId="7" borderId="9" xfId="1" applyNumberFormat="1" applyFont="1" applyFill="1" applyBorder="1"/>
    <xf numFmtId="168" fontId="0" fillId="0" borderId="0" xfId="2" applyNumberFormat="1" applyFont="1"/>
    <xf numFmtId="180" fontId="0" fillId="0" borderId="0" xfId="2" applyNumberFormat="1" applyFont="1"/>
    <xf numFmtId="179" fontId="1" fillId="0" borderId="0" xfId="1" applyNumberFormat="1" applyAlignment="1">
      <alignment horizontal="right"/>
    </xf>
    <xf numFmtId="41" fontId="4" fillId="4" borderId="1" xfId="0" applyNumberFormat="1" applyFont="1" applyFill="1" applyBorder="1" applyAlignment="1">
      <alignment horizontal="center"/>
    </xf>
    <xf numFmtId="164" fontId="4" fillId="4" borderId="1" xfId="6" applyNumberFormat="1" applyFont="1" applyFill="1" applyBorder="1" applyAlignment="1">
      <alignment horizontal="center"/>
    </xf>
    <xf numFmtId="44" fontId="4" fillId="4" borderId="1" xfId="8" applyFont="1" applyFill="1" applyBorder="1" applyAlignment="1">
      <alignment horizontal="center"/>
    </xf>
    <xf numFmtId="41" fontId="4" fillId="4" borderId="10" xfId="0" applyNumberFormat="1" applyFont="1" applyFill="1" applyBorder="1" applyAlignment="1">
      <alignment horizontal="center"/>
    </xf>
    <xf numFmtId="164" fontId="4" fillId="4" borderId="11" xfId="6" applyNumberFormat="1" applyFont="1" applyFill="1" applyBorder="1" applyAlignment="1">
      <alignment horizontal="center"/>
    </xf>
    <xf numFmtId="44" fontId="4" fillId="4" borderId="12" xfId="8" applyFont="1" applyFill="1" applyBorder="1" applyAlignment="1">
      <alignment horizontal="center"/>
    </xf>
    <xf numFmtId="41" fontId="0" fillId="0" borderId="13" xfId="0" applyNumberFormat="1" applyBorder="1" applyAlignment="1">
      <alignment vertical="top"/>
    </xf>
    <xf numFmtId="41" fontId="0" fillId="0" borderId="14" xfId="0" applyNumberFormat="1" applyBorder="1" applyAlignment="1">
      <alignment vertical="top"/>
    </xf>
    <xf numFmtId="41" fontId="0" fillId="0" borderId="15" xfId="0" applyNumberFormat="1" applyBorder="1" applyAlignment="1">
      <alignment vertical="top"/>
    </xf>
    <xf numFmtId="41" fontId="0" fillId="0" borderId="3" xfId="0" applyNumberFormat="1" applyBorder="1"/>
    <xf numFmtId="164" fontId="4" fillId="4" borderId="0" xfId="6" applyNumberFormat="1" applyFont="1" applyFill="1" applyBorder="1" applyAlignment="1">
      <alignment horizontal="center"/>
    </xf>
    <xf numFmtId="0" fontId="9" fillId="0" borderId="6" xfId="0" applyFont="1" applyBorder="1"/>
    <xf numFmtId="180" fontId="2" fillId="0" borderId="0" xfId="2" applyNumberFormat="1" applyFont="1"/>
    <xf numFmtId="170" fontId="2" fillId="0" borderId="0" xfId="0" applyNumberFormat="1" applyFont="1"/>
    <xf numFmtId="44" fontId="1" fillId="0" borderId="0" xfId="2" applyBorder="1"/>
    <xf numFmtId="173" fontId="2" fillId="0" borderId="0" xfId="3" applyNumberFormat="1" applyFont="1" applyBorder="1"/>
    <xf numFmtId="188" fontId="0" fillId="2" borderId="0" xfId="0" applyNumberFormat="1" applyFill="1"/>
    <xf numFmtId="165" fontId="9" fillId="2" borderId="0" xfId="0" applyNumberFormat="1" applyFont="1" applyFill="1"/>
    <xf numFmtId="189" fontId="0" fillId="0" borderId="0" xfId="0" applyNumberFormat="1"/>
    <xf numFmtId="190" fontId="0" fillId="0" borderId="0" xfId="0" applyNumberFormat="1"/>
    <xf numFmtId="0" fontId="9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  <xf numFmtId="0" fontId="3" fillId="2" borderId="0" xfId="0" applyFont="1" applyFill="1" applyAlignment="1">
      <alignment horizontal="center" wrapText="1"/>
    </xf>
  </cellXfs>
  <cellStyles count="10">
    <cellStyle name="Comma" xfId="1" builtinId="3"/>
    <cellStyle name="Comma 2" xfId="6" xr:uid="{D184BBD1-3C6D-4979-B5E2-3D302FBD7F7A}"/>
    <cellStyle name="Comma 3" xfId="5" xr:uid="{80C6CF8D-E377-4756-93AA-E82AE907E6E2}"/>
    <cellStyle name="Currency" xfId="2" builtinId="4"/>
    <cellStyle name="Currency 2" xfId="8" xr:uid="{7C6A293D-18B3-4A0A-8A24-52B705F200F3}"/>
    <cellStyle name="Currency 3" xfId="7" xr:uid="{B5606018-8E97-4003-A687-B1696FCB9586}"/>
    <cellStyle name="Normal" xfId="0" builtinId="0"/>
    <cellStyle name="Normal 2" xfId="4" xr:uid="{0B804C2B-DA2B-4442-AEDA-2E52275C4950}"/>
    <cellStyle name="Percent" xfId="3" builtinId="5"/>
    <cellStyle name="Percent 2" xfId="9" xr:uid="{2AB9E91B-6F0C-4E26-904F-9B531E7F03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aula Zarnett" id="{ADA6468A-4382-4E83-BA0A-FB4392A0A8C6}" userId="S::pzarnett@bdrenergy.com::ab0431ff-1dfe-49ec-bd12-2de102a6a05b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L56" dT="2026-04-23T12:54:39.42" personId="{ADA6468A-4382-4E83-BA0A-FB4392A0A8C6}" id="{C5F7BB12-162C-4B1E-B59C-A68C853B31CD}">
    <text xml:space="preserve">Prorate adjustment on change of FAM rate
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5674A-9A80-4CDA-AD2A-084D78D6FF37}">
  <sheetPr>
    <pageSetUpPr fitToPage="1"/>
  </sheetPr>
  <dimension ref="A1:S133"/>
  <sheetViews>
    <sheetView tabSelected="1" topLeftCell="A34" workbookViewId="0">
      <selection activeCell="N89" sqref="N89"/>
    </sheetView>
  </sheetViews>
  <sheetFormatPr defaultRowHeight="15" x14ac:dyDescent="0.25"/>
  <cols>
    <col min="1" max="1" width="3.28515625" customWidth="1"/>
    <col min="3" max="3" width="12.140625" customWidth="1"/>
    <col min="4" max="4" width="12.5703125" customWidth="1"/>
    <col min="5" max="5" width="13.5703125" customWidth="1"/>
    <col min="6" max="6" width="10.5703125" customWidth="1"/>
    <col min="7" max="7" width="11" customWidth="1"/>
    <col min="8" max="8" width="11.85546875" customWidth="1"/>
    <col min="9" max="9" width="11.42578125" customWidth="1"/>
    <col min="10" max="10" width="10.85546875" customWidth="1"/>
    <col min="11" max="11" width="11.140625" customWidth="1"/>
    <col min="12" max="12" width="11.5703125" bestFit="1" customWidth="1"/>
    <col min="13" max="13" width="14.7109375" customWidth="1"/>
    <col min="14" max="14" width="12.140625" customWidth="1"/>
    <col min="15" max="15" width="11.85546875" customWidth="1"/>
    <col min="16" max="16" width="13.5703125" bestFit="1" customWidth="1"/>
    <col min="18" max="18" width="13.42578125" customWidth="1"/>
  </cols>
  <sheetData>
    <row r="1" spans="2:15" ht="20.25" x14ac:dyDescent="0.3">
      <c r="B1" s="103" t="s">
        <v>268</v>
      </c>
      <c r="C1" s="2"/>
      <c r="D1" s="3"/>
      <c r="E1" s="3"/>
    </row>
    <row r="2" spans="2:15" ht="18.75" x14ac:dyDescent="0.3">
      <c r="B2" s="62" t="s">
        <v>53</v>
      </c>
    </row>
    <row r="3" spans="2:15" ht="42.6" customHeight="1" x14ac:dyDescent="0.25">
      <c r="B3" s="34"/>
      <c r="C3" s="21" t="s">
        <v>269</v>
      </c>
      <c r="D3" s="2"/>
      <c r="E3" s="3"/>
      <c r="F3" s="3"/>
      <c r="I3" s="241"/>
      <c r="J3" s="241"/>
      <c r="K3" s="241"/>
      <c r="L3" s="241"/>
      <c r="N3" s="58">
        <f>'Data and Sources'!K147</f>
        <v>6541339.3434966672</v>
      </c>
    </row>
    <row r="4" spans="2:15" x14ac:dyDescent="0.25">
      <c r="C4" s="21" t="s">
        <v>270</v>
      </c>
      <c r="D4" s="2"/>
      <c r="E4" s="13"/>
      <c r="F4" s="13"/>
      <c r="I4" s="95"/>
      <c r="N4" s="58">
        <f>M44+O44</f>
        <v>8210182.6072070021</v>
      </c>
    </row>
    <row r="5" spans="2:15" x14ac:dyDescent="0.25">
      <c r="C5" s="21"/>
      <c r="D5" s="2"/>
      <c r="E5" s="13"/>
      <c r="F5" s="13"/>
      <c r="I5" s="95"/>
      <c r="N5" s="58"/>
    </row>
    <row r="6" spans="2:15" x14ac:dyDescent="0.25">
      <c r="C6" s="21" t="s">
        <v>18</v>
      </c>
      <c r="D6" s="2"/>
      <c r="E6" s="3"/>
      <c r="F6" s="3"/>
      <c r="N6" s="38">
        <f>N3/N4</f>
        <v>0.79673493958034458</v>
      </c>
    </row>
    <row r="7" spans="2:15" x14ac:dyDescent="0.25">
      <c r="C7" s="21" t="s">
        <v>19</v>
      </c>
      <c r="D7" s="2"/>
      <c r="E7" s="3"/>
      <c r="F7" s="3"/>
      <c r="K7" s="33"/>
      <c r="L7" s="33"/>
      <c r="M7" s="33"/>
      <c r="N7" s="59">
        <f>'Data and Sources'!L149</f>
        <v>2.1756486718943924E-2</v>
      </c>
      <c r="O7" t="s">
        <v>52</v>
      </c>
    </row>
    <row r="8" spans="2:15" x14ac:dyDescent="0.25">
      <c r="C8" s="21" t="s">
        <v>20</v>
      </c>
      <c r="D8" s="2"/>
      <c r="E8" s="3"/>
      <c r="F8" s="3"/>
      <c r="N8" s="216">
        <f>N7*N6</f>
        <v>1.7334153131498355E-2</v>
      </c>
    </row>
    <row r="9" spans="2:15" x14ac:dyDescent="0.25">
      <c r="D9" s="2"/>
      <c r="E9" s="3"/>
      <c r="F9" s="3"/>
    </row>
    <row r="10" spans="2:15" x14ac:dyDescent="0.25">
      <c r="C10" s="40" t="s">
        <v>21</v>
      </c>
      <c r="D10" s="24"/>
      <c r="E10" s="3"/>
      <c r="F10" s="3"/>
      <c r="N10" s="38">
        <f>ROUND(N3/N4,5)</f>
        <v>0.79673000000000005</v>
      </c>
    </row>
    <row r="11" spans="2:15" x14ac:dyDescent="0.25">
      <c r="D11" s="2"/>
      <c r="E11" s="3"/>
      <c r="F11" s="3"/>
    </row>
    <row r="12" spans="2:15" x14ac:dyDescent="0.25">
      <c r="C12" s="40" t="s">
        <v>22</v>
      </c>
      <c r="D12" s="41"/>
      <c r="E12" s="42" t="s">
        <v>215</v>
      </c>
      <c r="F12" s="3"/>
      <c r="N12" s="60">
        <f>ROUND(N7*N10,5)</f>
        <v>1.7330000000000002E-2</v>
      </c>
    </row>
    <row r="13" spans="2:15" x14ac:dyDescent="0.25">
      <c r="C13" s="21"/>
      <c r="D13" s="41"/>
      <c r="E13" s="42"/>
      <c r="F13" s="3"/>
    </row>
    <row r="14" spans="2:15" x14ac:dyDescent="0.25">
      <c r="C14" s="21"/>
      <c r="D14" s="41"/>
      <c r="E14" s="42"/>
      <c r="F14" s="3"/>
    </row>
    <row r="15" spans="2:15" ht="18.75" x14ac:dyDescent="0.3">
      <c r="B15" s="62" t="s">
        <v>54</v>
      </c>
      <c r="C15" s="21"/>
      <c r="D15" s="41"/>
      <c r="E15" s="42"/>
      <c r="F15" s="3"/>
    </row>
    <row r="16" spans="2:15" x14ac:dyDescent="0.25">
      <c r="C16" s="21"/>
      <c r="D16" s="41"/>
      <c r="E16" s="42"/>
      <c r="F16" s="3"/>
    </row>
    <row r="17" spans="1:16" x14ac:dyDescent="0.25">
      <c r="C17" s="21"/>
      <c r="D17" s="41"/>
      <c r="E17" s="42"/>
      <c r="F17" s="3"/>
    </row>
    <row r="18" spans="1:16" x14ac:dyDescent="0.25">
      <c r="A18" s="64" t="s">
        <v>68</v>
      </c>
      <c r="B18" s="34" t="s">
        <v>55</v>
      </c>
      <c r="C18" s="21"/>
      <c r="D18" s="41"/>
      <c r="E18" s="42"/>
      <c r="F18" s="3"/>
    </row>
    <row r="19" spans="1:16" x14ac:dyDescent="0.25">
      <c r="B19" s="34" t="s">
        <v>56</v>
      </c>
      <c r="C19" s="21"/>
      <c r="D19" s="41"/>
      <c r="E19" s="42"/>
      <c r="F19" s="3"/>
    </row>
    <row r="20" spans="1:16" x14ac:dyDescent="0.25">
      <c r="B20" t="s">
        <v>57</v>
      </c>
      <c r="C20" s="21"/>
      <c r="D20" s="41"/>
      <c r="E20" s="42"/>
      <c r="F20" s="3"/>
    </row>
    <row r="21" spans="1:16" x14ac:dyDescent="0.25">
      <c r="B21" t="s">
        <v>58</v>
      </c>
      <c r="C21" s="21"/>
      <c r="D21" s="41"/>
      <c r="E21" s="42"/>
      <c r="F21" s="3"/>
    </row>
    <row r="22" spans="1:16" x14ac:dyDescent="0.25">
      <c r="B22" t="s">
        <v>59</v>
      </c>
      <c r="C22" s="21"/>
      <c r="D22" s="41"/>
      <c r="E22" s="42"/>
      <c r="F22" s="3"/>
    </row>
    <row r="23" spans="1:16" x14ac:dyDescent="0.25">
      <c r="C23" s="21"/>
      <c r="D23" s="41"/>
      <c r="E23" s="42"/>
      <c r="F23" s="3"/>
      <c r="L23" t="s">
        <v>272</v>
      </c>
      <c r="M23" t="s">
        <v>273</v>
      </c>
      <c r="N23" t="s">
        <v>274</v>
      </c>
    </row>
    <row r="24" spans="1:16" x14ac:dyDescent="0.25">
      <c r="B24" t="s">
        <v>60</v>
      </c>
      <c r="C24" s="21"/>
      <c r="D24" s="41"/>
      <c r="E24" s="42"/>
      <c r="F24" s="3"/>
      <c r="L24">
        <f>'Data and Sources'!I130</f>
        <v>2.65E-3</v>
      </c>
      <c r="M24" s="76">
        <f>'Data and Sources'!L130</f>
        <v>2.65E-3</v>
      </c>
      <c r="N24" s="76">
        <f>M24-L24</f>
        <v>0</v>
      </c>
    </row>
    <row r="25" spans="1:16" x14ac:dyDescent="0.25">
      <c r="B25" t="s">
        <v>61</v>
      </c>
      <c r="C25" s="21"/>
      <c r="D25" s="41"/>
      <c r="E25" s="42"/>
      <c r="F25" s="3"/>
      <c r="L25">
        <f>'Data and Sources'!I131</f>
        <v>1.0499999999999999E-3</v>
      </c>
      <c r="M25">
        <f>'Data and Sources'!L131</f>
        <v>1.0499999999999999E-3</v>
      </c>
      <c r="N25" s="76">
        <f t="shared" ref="N25:N26" si="0">M25-L25</f>
        <v>0</v>
      </c>
      <c r="O25" s="95"/>
    </row>
    <row r="26" spans="1:16" x14ac:dyDescent="0.25">
      <c r="B26" t="s">
        <v>62</v>
      </c>
      <c r="C26" s="21"/>
      <c r="D26" s="41"/>
      <c r="E26" s="42"/>
      <c r="F26" s="3"/>
      <c r="L26" s="76">
        <f>L24+L25</f>
        <v>3.7000000000000002E-3</v>
      </c>
      <c r="M26" s="76">
        <f>M24+M25</f>
        <v>3.7000000000000002E-3</v>
      </c>
      <c r="N26" s="76">
        <f t="shared" si="0"/>
        <v>0</v>
      </c>
    </row>
    <row r="27" spans="1:16" x14ac:dyDescent="0.25">
      <c r="B27" t="s">
        <v>63</v>
      </c>
      <c r="C27" s="21"/>
      <c r="D27" s="41"/>
      <c r="E27" s="42"/>
      <c r="F27" s="3"/>
      <c r="N27" s="2">
        <f>'Data and Sources'!I139</f>
        <v>42672063.536268771</v>
      </c>
      <c r="O27" s="95"/>
    </row>
    <row r="28" spans="1:16" x14ac:dyDescent="0.25">
      <c r="B28" t="s">
        <v>64</v>
      </c>
      <c r="C28" s="21"/>
      <c r="D28" s="41"/>
      <c r="E28" s="42"/>
      <c r="F28" s="3"/>
      <c r="N28" s="37">
        <f>N27*N26</f>
        <v>0</v>
      </c>
    </row>
    <row r="29" spans="1:16" ht="15.75" x14ac:dyDescent="0.25">
      <c r="B29" t="s">
        <v>65</v>
      </c>
      <c r="C29" s="21"/>
      <c r="D29" s="41"/>
      <c r="E29" s="42"/>
      <c r="F29" s="3"/>
      <c r="K29" s="61"/>
      <c r="N29" s="81">
        <f>'Test Year Load Forecast'!K20</f>
        <v>40695930.559409291</v>
      </c>
    </row>
    <row r="30" spans="1:16" x14ac:dyDescent="0.25">
      <c r="B30" t="s">
        <v>106</v>
      </c>
      <c r="C30" s="21"/>
      <c r="D30" s="41"/>
      <c r="E30" s="42"/>
      <c r="F30" s="3"/>
      <c r="N30" s="36">
        <f>ROUND(N28/N29*100,3)</f>
        <v>0</v>
      </c>
      <c r="P30" t="s">
        <v>101</v>
      </c>
    </row>
    <row r="31" spans="1:16" x14ac:dyDescent="0.25">
      <c r="C31" s="21"/>
      <c r="D31" s="41"/>
      <c r="E31" s="42"/>
      <c r="F31" s="3"/>
      <c r="P31" s="82">
        <f>(N27-N29)/N27</f>
        <v>4.6309758963962035E-2</v>
      </c>
    </row>
    <row r="32" spans="1:16" x14ac:dyDescent="0.25">
      <c r="C32" s="21"/>
      <c r="D32" s="41"/>
      <c r="E32" s="42"/>
      <c r="F32" s="3"/>
      <c r="P32" s="82"/>
    </row>
    <row r="33" spans="2:16" x14ac:dyDescent="0.25">
      <c r="B33" t="s">
        <v>107</v>
      </c>
      <c r="N33" s="36">
        <f>N30</f>
        <v>0</v>
      </c>
      <c r="P33" s="82"/>
    </row>
    <row r="34" spans="2:16" x14ac:dyDescent="0.25">
      <c r="N34" s="36"/>
      <c r="P34" s="82"/>
    </row>
    <row r="35" spans="2:16" x14ac:dyDescent="0.25">
      <c r="H35" s="34" t="s">
        <v>257</v>
      </c>
      <c r="I35" s="34"/>
      <c r="L35" s="36"/>
      <c r="N35" s="82"/>
      <c r="P35" s="82"/>
    </row>
    <row r="36" spans="2:16" ht="60" x14ac:dyDescent="0.25">
      <c r="L36" s="36"/>
      <c r="M36" s="72" t="s">
        <v>210</v>
      </c>
      <c r="N36" s="72" t="s">
        <v>211</v>
      </c>
      <c r="O36" s="72" t="s">
        <v>280</v>
      </c>
      <c r="P36" s="82"/>
    </row>
    <row r="37" spans="2:16" x14ac:dyDescent="0.25">
      <c r="H37" t="s">
        <v>258</v>
      </c>
      <c r="L37" s="36"/>
      <c r="M37" s="143">
        <f>M57</f>
        <v>3967822.3246825556</v>
      </c>
      <c r="N37" s="143">
        <f>N57</f>
        <v>4030522.5137908119</v>
      </c>
      <c r="O37" s="143">
        <f>-M51</f>
        <v>-349807.95028807467</v>
      </c>
      <c r="P37" s="82"/>
    </row>
    <row r="38" spans="2:16" x14ac:dyDescent="0.25">
      <c r="H38" t="s">
        <v>135</v>
      </c>
      <c r="L38" s="36"/>
      <c r="M38" s="143">
        <f>M63</f>
        <v>188445.24889129284</v>
      </c>
      <c r="N38" s="143">
        <f>N63</f>
        <v>191091.40024427138</v>
      </c>
      <c r="O38" s="143">
        <f>-M60</f>
        <v>-35753.306999858862</v>
      </c>
      <c r="P38" s="82"/>
    </row>
    <row r="39" spans="2:16" x14ac:dyDescent="0.25">
      <c r="H39" t="s">
        <v>136</v>
      </c>
      <c r="L39" s="36"/>
      <c r="M39" s="143">
        <f>M71</f>
        <v>2593086.6836774619</v>
      </c>
      <c r="N39" s="143">
        <f>N71</f>
        <v>2638024.8759055925</v>
      </c>
      <c r="P39" s="82"/>
    </row>
    <row r="40" spans="2:16" x14ac:dyDescent="0.25">
      <c r="H40" t="s">
        <v>137</v>
      </c>
      <c r="L40" s="36"/>
      <c r="M40" s="143">
        <f>M78</f>
        <v>1577110.0072436244</v>
      </c>
      <c r="N40" s="143">
        <f>N78</f>
        <v>1604441.3236691565</v>
      </c>
      <c r="P40" s="82"/>
    </row>
    <row r="41" spans="2:16" x14ac:dyDescent="0.25">
      <c r="H41" t="s">
        <v>259</v>
      </c>
      <c r="L41" s="36"/>
      <c r="M41" s="143">
        <v>195461</v>
      </c>
      <c r="N41" s="143">
        <v>195461</v>
      </c>
      <c r="P41" s="82"/>
    </row>
    <row r="42" spans="2:16" x14ac:dyDescent="0.25">
      <c r="H42" t="s">
        <v>134</v>
      </c>
      <c r="L42" s="36"/>
      <c r="M42" s="143">
        <f>78744*1.02</f>
        <v>80318.880000000005</v>
      </c>
      <c r="N42" s="143">
        <v>78744</v>
      </c>
      <c r="O42" s="143">
        <f>-E121*12*19</f>
        <v>-6500.28</v>
      </c>
      <c r="P42" s="82"/>
    </row>
    <row r="43" spans="2:16" x14ac:dyDescent="0.25">
      <c r="L43" s="36"/>
      <c r="P43" s="82"/>
    </row>
    <row r="44" spans="2:16" x14ac:dyDescent="0.25">
      <c r="H44" t="s">
        <v>7</v>
      </c>
      <c r="L44" s="36"/>
      <c r="M44" s="143">
        <f>SUM(M37:M43)</f>
        <v>8602244.1444949359</v>
      </c>
      <c r="N44" s="143">
        <f>SUM(N37:N43)</f>
        <v>8738285.1136098318</v>
      </c>
      <c r="O44" s="143">
        <f>SUM(O37:O43)</f>
        <v>-392061.53728793358</v>
      </c>
      <c r="P44" s="82"/>
    </row>
    <row r="45" spans="2:16" x14ac:dyDescent="0.25">
      <c r="L45" s="36"/>
      <c r="N45" s="24">
        <f>N44/M44-1</f>
        <v>1.5814590568433928E-2</v>
      </c>
      <c r="P45" s="82"/>
    </row>
    <row r="46" spans="2:16" x14ac:dyDescent="0.25">
      <c r="N46" s="36">
        <f>N44-M44</f>
        <v>136040.96911489591</v>
      </c>
      <c r="P46" s="82"/>
    </row>
    <row r="47" spans="2:16" x14ac:dyDescent="0.25">
      <c r="N47" s="36"/>
      <c r="P47" s="82"/>
    </row>
    <row r="48" spans="2:16" x14ac:dyDescent="0.25">
      <c r="C48" s="21"/>
      <c r="D48" s="41"/>
      <c r="E48" s="42"/>
      <c r="F48" s="3"/>
      <c r="K48" s="34" t="s">
        <v>173</v>
      </c>
      <c r="N48" s="35"/>
    </row>
    <row r="49" spans="2:19" ht="77.25" x14ac:dyDescent="0.25">
      <c r="D49" s="2"/>
      <c r="E49" s="70" t="s">
        <v>271</v>
      </c>
      <c r="F49" s="71" t="s">
        <v>23</v>
      </c>
      <c r="G49" s="71" t="s">
        <v>80</v>
      </c>
      <c r="H49" s="73" t="s">
        <v>110</v>
      </c>
      <c r="I49" s="72" t="s">
        <v>92</v>
      </c>
      <c r="J49" s="26" t="s">
        <v>66</v>
      </c>
      <c r="L49" s="72" t="s">
        <v>207</v>
      </c>
      <c r="M49" s="72" t="s">
        <v>210</v>
      </c>
      <c r="N49" s="72" t="s">
        <v>211</v>
      </c>
      <c r="P49" s="72" t="s">
        <v>209</v>
      </c>
      <c r="R49" s="242" t="s">
        <v>108</v>
      </c>
      <c r="S49" s="242"/>
    </row>
    <row r="50" spans="2:19" x14ac:dyDescent="0.25">
      <c r="C50" s="1" t="s">
        <v>37</v>
      </c>
      <c r="D50" s="2"/>
      <c r="E50" s="51"/>
      <c r="F50" s="3"/>
      <c r="H50" s="53"/>
    </row>
    <row r="51" spans="2:19" x14ac:dyDescent="0.25">
      <c r="C51" s="46" t="s">
        <v>38</v>
      </c>
      <c r="D51" s="2"/>
      <c r="E51" s="5">
        <f>'Retail Rates 2026'!K51</f>
        <v>15.04</v>
      </c>
      <c r="F51" s="3"/>
      <c r="G51" s="31">
        <f>F51+E51</f>
        <v>15.04</v>
      </c>
      <c r="H51" s="53"/>
      <c r="I51" s="50">
        <f>H51+G51</f>
        <v>15.04</v>
      </c>
      <c r="J51" s="24">
        <f>I51/E51-1</f>
        <v>0</v>
      </c>
      <c r="K51">
        <f>1+'Test Year Load Forecast'!J14</f>
        <v>1.013562321959919</v>
      </c>
      <c r="L51" s="217">
        <f>P51*(1+'Test Year Load Forecast'!L$14)</f>
        <v>23258.507332983689</v>
      </c>
      <c r="M51" s="218">
        <f>L51*E51</f>
        <v>349807.95028807467</v>
      </c>
      <c r="N51" s="218">
        <f>L51*I51</f>
        <v>349807.95028807467</v>
      </c>
      <c r="P51" s="217">
        <v>22762.719811622865</v>
      </c>
      <c r="R51" s="94">
        <f>E51</f>
        <v>15.04</v>
      </c>
      <c r="S51" s="94">
        <f>I51</f>
        <v>15.04</v>
      </c>
    </row>
    <row r="52" spans="2:19" x14ac:dyDescent="0.25">
      <c r="C52" s="52" t="s">
        <v>39</v>
      </c>
      <c r="D52" s="2"/>
      <c r="E52" s="5">
        <f>'Retail Rates 2026'!K52</f>
        <v>0.18595514830000001</v>
      </c>
      <c r="F52" s="5">
        <f>E52*$N$12</f>
        <v>3.2226027200390004E-3</v>
      </c>
      <c r="G52" s="31">
        <f>F52+E52</f>
        <v>0.189177751020039</v>
      </c>
      <c r="H52" s="31">
        <f>$N$33/100</f>
        <v>0</v>
      </c>
      <c r="I52" s="78">
        <f>H52+G52</f>
        <v>0.189177751020039</v>
      </c>
      <c r="J52" s="24">
        <f>I52/E52-1</f>
        <v>1.7329999999999846E-2</v>
      </c>
      <c r="L52" s="217"/>
      <c r="N52" s="218"/>
      <c r="P52" s="217"/>
      <c r="R52" s="94">
        <f>200*E52</f>
        <v>37.191029660000005</v>
      </c>
      <c r="S52" s="94">
        <f>200*I52</f>
        <v>37.835550204007802</v>
      </c>
    </row>
    <row r="53" spans="2:19" x14ac:dyDescent="0.25">
      <c r="C53" s="52" t="s">
        <v>40</v>
      </c>
      <c r="D53" s="2"/>
      <c r="E53" s="5">
        <f>'Retail Rates 2026'!K53</f>
        <v>0.18595514830000001</v>
      </c>
      <c r="F53" s="5">
        <f>E53*$N$12</f>
        <v>3.2226027200390004E-3</v>
      </c>
      <c r="G53" s="31">
        <f>F53+E53</f>
        <v>0.189177751020039</v>
      </c>
      <c r="H53" s="31">
        <f t="shared" ref="H53:H54" si="1">$N$33/100</f>
        <v>0</v>
      </c>
      <c r="I53" s="78">
        <f>H53+G53</f>
        <v>0.189177751020039</v>
      </c>
      <c r="J53" s="24">
        <f>I53/E53-1</f>
        <v>1.7329999999999846E-2</v>
      </c>
      <c r="L53" s="217">
        <f>0</f>
        <v>0</v>
      </c>
      <c r="N53" s="218"/>
      <c r="P53" s="217">
        <v>4552543.9623245727</v>
      </c>
      <c r="R53" s="94">
        <f>550*E53</f>
        <v>102.275331565</v>
      </c>
      <c r="S53" s="94">
        <f>550*I53</f>
        <v>104.04776306102146</v>
      </c>
    </row>
    <row r="54" spans="2:19" x14ac:dyDescent="0.25">
      <c r="C54" s="52" t="s">
        <v>112</v>
      </c>
      <c r="D54" s="2"/>
      <c r="E54" s="5">
        <f>'Retail Rates 2026'!K54</f>
        <v>0.18595514830000001</v>
      </c>
      <c r="F54" s="5">
        <f>E54*$N$12</f>
        <v>3.2226027200390004E-3</v>
      </c>
      <c r="G54" s="31">
        <f>F54+E54</f>
        <v>0.189177751020039</v>
      </c>
      <c r="H54" s="31">
        <f t="shared" si="1"/>
        <v>0</v>
      </c>
      <c r="I54" s="78">
        <f>H54+G54</f>
        <v>0.189177751020039</v>
      </c>
      <c r="J54" s="24">
        <f>I54/E54-1</f>
        <v>1.7329999999999846E-2</v>
      </c>
      <c r="L54" s="217">
        <f>L57</f>
        <v>19456381.861273162</v>
      </c>
      <c r="M54" s="218">
        <f>L54*E54</f>
        <v>3618014.3743944811</v>
      </c>
      <c r="N54" s="218">
        <f>L54*I54</f>
        <v>3680714.5635027373</v>
      </c>
      <c r="P54" s="217">
        <v>14489097.984664807</v>
      </c>
      <c r="R54" s="94">
        <f>SUM(R51:R53)</f>
        <v>154.50636122500001</v>
      </c>
      <c r="S54" s="94">
        <f>SUM(S51:S53)</f>
        <v>156.92331326502926</v>
      </c>
    </row>
    <row r="55" spans="2:19" x14ac:dyDescent="0.25">
      <c r="C55" s="52" t="s">
        <v>36</v>
      </c>
      <c r="D55" s="2"/>
      <c r="E55" s="5">
        <f>'Retail Rates 2026'!K55</f>
        <v>15.04</v>
      </c>
      <c r="F55" s="3"/>
      <c r="G55" s="31">
        <f>F55+E55</f>
        <v>15.04</v>
      </c>
      <c r="H55" s="53"/>
      <c r="I55" s="78">
        <f>G55</f>
        <v>15.04</v>
      </c>
      <c r="J55" s="24">
        <f>I55/E55-1</f>
        <v>0</v>
      </c>
      <c r="P55" s="135">
        <f>P54+P53</f>
        <v>19041641.94698938</v>
      </c>
      <c r="S55" s="24">
        <f>S54/R54-1</f>
        <v>1.5643058453169933E-2</v>
      </c>
    </row>
    <row r="56" spans="2:19" x14ac:dyDescent="0.25">
      <c r="D56" s="2"/>
      <c r="E56" s="51"/>
      <c r="F56" s="3"/>
      <c r="G56" s="50"/>
      <c r="H56" s="53"/>
      <c r="S56" s="94">
        <f>S54-R54</f>
        <v>2.4169520400292583</v>
      </c>
    </row>
    <row r="57" spans="2:19" x14ac:dyDescent="0.25">
      <c r="C57" s="52" t="s">
        <v>212</v>
      </c>
      <c r="D57" s="2"/>
      <c r="E57" s="51"/>
      <c r="F57" s="3"/>
      <c r="G57" s="50"/>
      <c r="H57" s="53"/>
      <c r="L57" s="81">
        <f>'Test Year Load Forecast'!K14</f>
        <v>19456381.861273162</v>
      </c>
      <c r="M57" s="218">
        <f>SUM(M50:M54)</f>
        <v>3967822.3246825556</v>
      </c>
      <c r="N57" s="218">
        <f>SUM(N50:N54)</f>
        <v>4030522.5137908119</v>
      </c>
      <c r="O57" s="38">
        <f>N57/M57-1</f>
        <v>1.5802166522986383E-2</v>
      </c>
    </row>
    <row r="58" spans="2:19" x14ac:dyDescent="0.25">
      <c r="D58" s="2"/>
      <c r="E58" s="51"/>
      <c r="F58" s="3"/>
      <c r="G58" s="50"/>
      <c r="H58" s="53"/>
      <c r="M58" s="94"/>
    </row>
    <row r="59" spans="2:19" x14ac:dyDescent="0.25">
      <c r="C59" s="1" t="s">
        <v>41</v>
      </c>
      <c r="D59" s="2"/>
      <c r="E59" s="51"/>
      <c r="F59" s="3"/>
      <c r="G59" s="50"/>
      <c r="H59" s="53"/>
    </row>
    <row r="60" spans="2:19" x14ac:dyDescent="0.25">
      <c r="B60" s="54"/>
      <c r="C60" s="46" t="s">
        <v>42</v>
      </c>
      <c r="D60" s="55"/>
      <c r="E60" s="5">
        <f>'Retail Rates 2026'!K60</f>
        <v>15.31</v>
      </c>
      <c r="F60" s="79"/>
      <c r="G60" s="31">
        <f>F60+E60</f>
        <v>15.31</v>
      </c>
      <c r="H60" s="31"/>
      <c r="I60" s="50">
        <f>H60+G60</f>
        <v>15.31</v>
      </c>
      <c r="J60" s="24">
        <f>I60/E60-1</f>
        <v>0</v>
      </c>
      <c r="L60" s="217">
        <f>P60*(1+'Test Year Load Forecast'!L16)</f>
        <v>2335.2911169078288</v>
      </c>
      <c r="M60" s="218">
        <f>L60*E60</f>
        <v>35753.306999858862</v>
      </c>
      <c r="N60" s="218">
        <f>L60*I60</f>
        <v>35753.306999858862</v>
      </c>
      <c r="P60" s="217">
        <v>2671.0377216144852</v>
      </c>
    </row>
    <row r="61" spans="2:19" x14ac:dyDescent="0.25">
      <c r="C61" s="52" t="s">
        <v>43</v>
      </c>
      <c r="D61" s="2"/>
      <c r="E61" s="5">
        <f>'Retail Rates 2026'!K61</f>
        <v>0.18165094309999999</v>
      </c>
      <c r="F61" s="5">
        <f>E61*$N$12</f>
        <v>3.1480108439230002E-3</v>
      </c>
      <c r="G61" s="31">
        <f>F61+E61</f>
        <v>0.18479895394392298</v>
      </c>
      <c r="H61" s="31">
        <f t="shared" ref="H61" si="2">$N$33/100</f>
        <v>0</v>
      </c>
      <c r="I61" s="50">
        <f>H61+G61</f>
        <v>0.18479895394392298</v>
      </c>
      <c r="J61" s="24">
        <f>I61/E61-1</f>
        <v>1.7330000000000068E-2</v>
      </c>
      <c r="L61" s="217">
        <f>'Test Year Load Forecast'!K16</f>
        <v>840578.85571987438</v>
      </c>
      <c r="M61" s="218">
        <f>L61*E61</f>
        <v>152691.94189143399</v>
      </c>
      <c r="N61" s="218">
        <f>L61*I61</f>
        <v>155338.09324441254</v>
      </c>
      <c r="P61" s="217">
        <v>961429.52600797312</v>
      </c>
    </row>
    <row r="62" spans="2:19" x14ac:dyDescent="0.25">
      <c r="C62" s="52" t="s">
        <v>36</v>
      </c>
      <c r="D62" s="2"/>
      <c r="E62" s="5">
        <f>'Retail Rates 2026'!K62</f>
        <v>15.31</v>
      </c>
      <c r="F62" s="5"/>
      <c r="G62" s="31">
        <f>F62+E62</f>
        <v>15.31</v>
      </c>
      <c r="H62" s="31"/>
      <c r="I62" s="50">
        <f>H62+G62</f>
        <v>15.31</v>
      </c>
      <c r="J62" s="24">
        <f>I62/E62-1</f>
        <v>0</v>
      </c>
    </row>
    <row r="63" spans="2:19" x14ac:dyDescent="0.25">
      <c r="C63" s="52"/>
      <c r="D63" s="2"/>
      <c r="E63" s="5"/>
      <c r="F63" s="5"/>
      <c r="G63" s="31"/>
      <c r="H63" s="31"/>
      <c r="I63" s="50"/>
      <c r="J63" s="24"/>
      <c r="M63" s="143">
        <f>M60+M61</f>
        <v>188445.24889129284</v>
      </c>
      <c r="N63" s="143">
        <f>N60+N61</f>
        <v>191091.40024427138</v>
      </c>
      <c r="O63" s="38">
        <f>N63/M63-1</f>
        <v>1.4042016811498526E-2</v>
      </c>
    </row>
    <row r="64" spans="2:19" x14ac:dyDescent="0.25">
      <c r="C64" s="52"/>
      <c r="D64" s="2"/>
      <c r="E64" s="5"/>
      <c r="F64" s="5"/>
      <c r="G64" s="31"/>
      <c r="H64" s="31"/>
      <c r="I64" s="50"/>
      <c r="J64" s="24"/>
    </row>
    <row r="65" spans="1:16" x14ac:dyDescent="0.25">
      <c r="D65" s="2"/>
      <c r="E65" s="51"/>
      <c r="F65" s="3"/>
      <c r="G65" s="50"/>
      <c r="H65" s="53"/>
      <c r="N65" s="108"/>
    </row>
    <row r="66" spans="1:16" x14ac:dyDescent="0.25">
      <c r="C66" s="1" t="s">
        <v>44</v>
      </c>
      <c r="D66" s="2"/>
      <c r="E66" s="51"/>
      <c r="F66" s="3"/>
      <c r="G66" s="50"/>
      <c r="H66" s="53"/>
    </row>
    <row r="67" spans="1:16" x14ac:dyDescent="0.25">
      <c r="C67" s="46" t="s">
        <v>45</v>
      </c>
      <c r="D67" s="2"/>
      <c r="E67" s="5">
        <f>'Retail Rates 2026'!K67</f>
        <v>10.896325299999999</v>
      </c>
      <c r="F67" s="5">
        <f>E67*$N$12</f>
        <v>0.188833317449</v>
      </c>
      <c r="G67" s="31">
        <f>F67+E67</f>
        <v>11.085158617448998</v>
      </c>
      <c r="H67" s="5"/>
      <c r="I67" s="31">
        <f>H67+G67</f>
        <v>11.085158617448998</v>
      </c>
      <c r="J67" s="24">
        <f>I67/E67-1</f>
        <v>1.7329999999999846E-2</v>
      </c>
      <c r="L67" s="37">
        <f>P67*(1+'Test Year Load Forecast'!L17)</f>
        <v>42323.175131361066</v>
      </c>
      <c r="M67" s="58">
        <f>L67*E67</f>
        <v>461167.08396018035</v>
      </c>
      <c r="N67" s="58">
        <f>L67*I67</f>
        <v>469159.10952521028</v>
      </c>
      <c r="P67" s="135">
        <v>45075.256927644565</v>
      </c>
    </row>
    <row r="68" spans="1:16" x14ac:dyDescent="0.25">
      <c r="C68" s="52" t="s">
        <v>46</v>
      </c>
      <c r="D68" s="2"/>
      <c r="E68" s="5">
        <f>'Retail Rates 2026'!K68</f>
        <v>0.23027174650000001</v>
      </c>
      <c r="F68" s="5">
        <f>E68*$N$12</f>
        <v>3.9906093668450006E-3</v>
      </c>
      <c r="G68" s="31">
        <f>F68+E68</f>
        <v>0.23426235586684502</v>
      </c>
      <c r="H68" s="31">
        <f t="shared" ref="H68:H69" si="3">$N$33/100</f>
        <v>0</v>
      </c>
      <c r="I68" s="31">
        <f>H68+G68</f>
        <v>0.23426235586684502</v>
      </c>
      <c r="J68" s="24">
        <f>I68/E68-1</f>
        <v>1.7330000000000068E-2</v>
      </c>
      <c r="L68" s="37">
        <f>P68*(1+'Test Year Load Forecast'!L17)</f>
        <v>4057446.2779333238</v>
      </c>
      <c r="M68" s="58">
        <f>L68*E68</f>
        <v>934315.24074963096</v>
      </c>
      <c r="N68" s="58">
        <f>L68*I68</f>
        <v>950506.92387182207</v>
      </c>
      <c r="P68" s="135">
        <v>4321283.3838744685</v>
      </c>
    </row>
    <row r="69" spans="1:16" x14ac:dyDescent="0.25">
      <c r="C69" s="52" t="s">
        <v>40</v>
      </c>
      <c r="D69" s="2"/>
      <c r="E69" s="5">
        <f>'Retail Rates 2026'!K69</f>
        <v>0.15792557900000001</v>
      </c>
      <c r="F69" s="5">
        <f>E69*$N$12</f>
        <v>2.7368502840700005E-3</v>
      </c>
      <c r="G69" s="31">
        <f>F69+E69</f>
        <v>0.16066242928407001</v>
      </c>
      <c r="H69" s="31">
        <f t="shared" si="3"/>
        <v>0</v>
      </c>
      <c r="I69" s="31">
        <f>H69+G69</f>
        <v>0.16066242928407001</v>
      </c>
      <c r="J69" s="24">
        <f>I69/E69-1</f>
        <v>1.7330000000000068E-2</v>
      </c>
      <c r="L69" s="37">
        <f>P69*(1+'Test Year Load Forecast'!L17)</f>
        <v>7583346.3239520602</v>
      </c>
      <c r="M69" s="58">
        <f>L69*E69</f>
        <v>1197604.3589676507</v>
      </c>
      <c r="N69" s="58">
        <f>L69*I69</f>
        <v>1218358.84250856</v>
      </c>
      <c r="P69" s="135">
        <v>8076456.5244104704</v>
      </c>
    </row>
    <row r="70" spans="1:16" x14ac:dyDescent="0.25">
      <c r="C70" s="52" t="s">
        <v>36</v>
      </c>
      <c r="D70" s="2"/>
      <c r="E70" s="5">
        <f>'Retail Rates 2026'!K70</f>
        <v>32.844999999999999</v>
      </c>
      <c r="F70" s="5"/>
      <c r="G70" s="31">
        <f>F70+E70</f>
        <v>32.844999999999999</v>
      </c>
      <c r="H70" s="5"/>
      <c r="I70" s="31">
        <f>H70+G70</f>
        <v>32.844999999999999</v>
      </c>
      <c r="J70" s="24">
        <f>I70/E70-1</f>
        <v>0</v>
      </c>
      <c r="P70" s="135"/>
    </row>
    <row r="71" spans="1:16" x14ac:dyDescent="0.25">
      <c r="C71" s="52"/>
      <c r="D71" s="2"/>
      <c r="E71" s="5"/>
      <c r="F71" s="5"/>
      <c r="G71" s="31"/>
      <c r="H71" s="5"/>
      <c r="I71" s="31"/>
      <c r="J71" s="24"/>
      <c r="L71" s="135">
        <f>SUM(L68:L69)</f>
        <v>11640792.601885384</v>
      </c>
      <c r="M71" s="37">
        <f>SUM(M67:M70)</f>
        <v>2593086.6836774619</v>
      </c>
      <c r="N71" s="37">
        <f>SUM(N67:N70)</f>
        <v>2638024.8759055925</v>
      </c>
      <c r="O71" s="38">
        <f>N71/M71-1</f>
        <v>1.7330000000000068E-2</v>
      </c>
      <c r="P71" s="135">
        <f>SUM(P68:P69)</f>
        <v>12397739.90828494</v>
      </c>
    </row>
    <row r="72" spans="1:16" x14ac:dyDescent="0.25">
      <c r="D72" s="2"/>
      <c r="E72" s="51" t="s">
        <v>47</v>
      </c>
      <c r="F72" s="3"/>
      <c r="G72" s="56" t="s">
        <v>47</v>
      </c>
      <c r="H72" s="53"/>
      <c r="O72" s="136"/>
    </row>
    <row r="73" spans="1:16" x14ac:dyDescent="0.25">
      <c r="C73" s="1" t="s">
        <v>48</v>
      </c>
      <c r="D73" s="2"/>
      <c r="E73" s="51" t="s">
        <v>47</v>
      </c>
      <c r="F73" s="3"/>
      <c r="G73" s="56" t="s">
        <v>47</v>
      </c>
      <c r="H73" s="53"/>
      <c r="O73" s="136"/>
    </row>
    <row r="74" spans="1:16" x14ac:dyDescent="0.25">
      <c r="C74" s="46" t="s">
        <v>45</v>
      </c>
      <c r="D74" s="2"/>
      <c r="E74" s="5">
        <f>'Retail Rates 2026'!K74</f>
        <v>12.6514381</v>
      </c>
      <c r="F74" s="5">
        <f>E74*$N$12</f>
        <v>0.21924942227300001</v>
      </c>
      <c r="G74" s="31">
        <f>F74+E74</f>
        <v>12.870687522273</v>
      </c>
      <c r="H74" s="5"/>
      <c r="I74" s="31">
        <f>H74+G74</f>
        <v>12.870687522273</v>
      </c>
      <c r="J74" s="24">
        <f>I74/E74-1</f>
        <v>1.7330000000000068E-2</v>
      </c>
      <c r="L74" s="37">
        <f>P74*(1+'Test Year Load Forecast'!L18)</f>
        <v>24888.06367885428</v>
      </c>
      <c r="M74" s="58">
        <f>L74*E74</f>
        <v>314869.7970618832</v>
      </c>
      <c r="N74" s="58">
        <f>L74*I74</f>
        <v>320326.49064496561</v>
      </c>
      <c r="O74" s="136"/>
      <c r="P74" s="37">
        <v>24888.06367885428</v>
      </c>
    </row>
    <row r="75" spans="1:16" x14ac:dyDescent="0.25">
      <c r="C75" s="52" t="s">
        <v>49</v>
      </c>
      <c r="D75" s="2"/>
      <c r="E75" s="5">
        <f>'Retail Rates 2026'!K75</f>
        <v>0.18756400170000001</v>
      </c>
      <c r="F75" s="5">
        <f>E75*$N$12</f>
        <v>3.2504841494610005E-3</v>
      </c>
      <c r="G75" s="31">
        <f>F75+E75</f>
        <v>0.19081448584946101</v>
      </c>
      <c r="H75" s="31">
        <f t="shared" ref="H75:H76" si="4">$N$33/100</f>
        <v>0</v>
      </c>
      <c r="I75" s="31">
        <f>H75+G75</f>
        <v>0.19081448584946101</v>
      </c>
      <c r="J75" s="24">
        <f>I75/E75-1</f>
        <v>1.7330000000000068E-2</v>
      </c>
      <c r="L75" s="37">
        <f>P75*(1+'Test Year Load Forecast'!L18)</f>
        <v>2488806.367885428</v>
      </c>
      <c r="M75" s="58">
        <f>L75*E75</f>
        <v>466810.48181703326</v>
      </c>
      <c r="N75" s="58">
        <f>L75*I75</f>
        <v>474900.30746692244</v>
      </c>
      <c r="O75" s="136"/>
      <c r="P75" s="135">
        <v>2488806.367885428</v>
      </c>
    </row>
    <row r="76" spans="1:16" x14ac:dyDescent="0.25">
      <c r="C76" s="52" t="s">
        <v>40</v>
      </c>
      <c r="D76" s="2"/>
      <c r="E76" s="5">
        <f>'Retail Rates 2026'!K76</f>
        <v>0.1375223927</v>
      </c>
      <c r="F76" s="5">
        <f>E76*$N$12</f>
        <v>2.3832630654910003E-3</v>
      </c>
      <c r="G76" s="31">
        <f>F76+E76</f>
        <v>0.13990565576549099</v>
      </c>
      <c r="H76" s="31">
        <f t="shared" si="4"/>
        <v>0</v>
      </c>
      <c r="I76" s="31">
        <f>H76+G76</f>
        <v>0.13990565576549099</v>
      </c>
      <c r="J76" s="24">
        <f>I76/E76-1</f>
        <v>1.7330000000000068E-2</v>
      </c>
      <c r="L76" s="37">
        <f>P76*(1+'Test Year Load Forecast'!L18)</f>
        <v>5784001.5196645716</v>
      </c>
      <c r="M76" s="58">
        <f>L76*E76</f>
        <v>795429.72836470802</v>
      </c>
      <c r="N76" s="58">
        <f>L76*I76</f>
        <v>809214.52555726829</v>
      </c>
      <c r="O76" s="136"/>
      <c r="P76" s="135">
        <v>5784001.5196645716</v>
      </c>
    </row>
    <row r="77" spans="1:16" x14ac:dyDescent="0.25">
      <c r="C77" s="52" t="s">
        <v>50</v>
      </c>
      <c r="D77" s="2"/>
      <c r="E77" s="5">
        <f>'Retail Rates 2026'!K77</f>
        <v>12.11</v>
      </c>
      <c r="F77" s="5"/>
      <c r="G77" s="31">
        <f>F77+E77</f>
        <v>12.11</v>
      </c>
      <c r="H77" s="5"/>
      <c r="I77" s="31">
        <f>H77+G77</f>
        <v>12.11</v>
      </c>
      <c r="J77" s="24">
        <f>I77/E77-1</f>
        <v>0</v>
      </c>
      <c r="O77" s="136"/>
    </row>
    <row r="78" spans="1:16" x14ac:dyDescent="0.25">
      <c r="D78" s="2"/>
      <c r="E78" s="5"/>
      <c r="F78" s="5"/>
      <c r="G78" s="5"/>
      <c r="H78" s="5"/>
      <c r="I78" s="5"/>
      <c r="M78" s="37">
        <f>SUM(M74:M77)</f>
        <v>1577110.0072436244</v>
      </c>
      <c r="N78" s="37">
        <f>SUM(N74:N77)</f>
        <v>1604441.3236691565</v>
      </c>
      <c r="O78" s="38">
        <f>N78/M78-1</f>
        <v>1.7330000000000068E-2</v>
      </c>
    </row>
    <row r="79" spans="1:16" x14ac:dyDescent="0.25">
      <c r="D79" s="2"/>
      <c r="E79" s="3"/>
      <c r="F79" s="3"/>
      <c r="G79" s="57"/>
      <c r="H79" s="53"/>
      <c r="L79" s="53"/>
      <c r="M79" s="36"/>
    </row>
    <row r="80" spans="1:16" x14ac:dyDescent="0.25">
      <c r="A80" s="64" t="s">
        <v>69</v>
      </c>
      <c r="B80" s="34" t="s">
        <v>70</v>
      </c>
      <c r="C80" s="21"/>
      <c r="D80" s="41"/>
      <c r="E80" s="42"/>
      <c r="F80" s="3"/>
      <c r="I80" s="34" t="s">
        <v>216</v>
      </c>
      <c r="L80" s="53"/>
      <c r="M80" s="36"/>
    </row>
    <row r="81" spans="1:17" x14ac:dyDescent="0.25">
      <c r="A81" s="64"/>
      <c r="B81" s="34"/>
      <c r="C81" s="21"/>
      <c r="D81" s="41"/>
      <c r="E81" s="42"/>
      <c r="F81" s="3"/>
      <c r="L81" s="53"/>
      <c r="M81" s="36"/>
    </row>
    <row r="82" spans="1:17" x14ac:dyDescent="0.25">
      <c r="A82" s="64"/>
      <c r="B82" s="34" t="s">
        <v>77</v>
      </c>
      <c r="C82" s="21"/>
      <c r="D82" s="41"/>
      <c r="E82" s="42"/>
      <c r="F82" s="3"/>
      <c r="L82" s="53"/>
      <c r="M82" s="36"/>
    </row>
    <row r="83" spans="1:17" x14ac:dyDescent="0.25">
      <c r="A83" s="64"/>
      <c r="B83" s="34" t="s">
        <v>78</v>
      </c>
      <c r="C83" s="21"/>
      <c r="D83" s="41"/>
      <c r="E83" s="42"/>
      <c r="F83" s="3"/>
      <c r="L83" s="53"/>
      <c r="M83" s="36"/>
    </row>
    <row r="84" spans="1:17" x14ac:dyDescent="0.25">
      <c r="A84" s="64"/>
      <c r="B84" s="34" t="s">
        <v>90</v>
      </c>
      <c r="C84" s="21"/>
      <c r="D84" s="41"/>
      <c r="E84" s="42"/>
      <c r="F84" s="3"/>
      <c r="L84" s="53"/>
      <c r="M84" s="36"/>
    </row>
    <row r="85" spans="1:17" x14ac:dyDescent="0.25">
      <c r="A85" s="64"/>
      <c r="B85" s="34"/>
      <c r="C85" s="21"/>
      <c r="D85" s="41"/>
      <c r="E85" s="42"/>
      <c r="F85" s="3"/>
      <c r="L85" s="53"/>
      <c r="M85" s="37">
        <v>40695731</v>
      </c>
    </row>
    <row r="86" spans="1:17" x14ac:dyDescent="0.25">
      <c r="B86" t="s">
        <v>71</v>
      </c>
      <c r="C86" s="21"/>
      <c r="D86" s="41"/>
      <c r="E86" s="42"/>
      <c r="F86" s="3"/>
      <c r="L86" s="53"/>
      <c r="M86" s="37">
        <f>M85*58.9%</f>
        <v>23969785.559</v>
      </c>
      <c r="N86" s="37">
        <f>M86*1.007</f>
        <v>24137574.057912998</v>
      </c>
    </row>
    <row r="87" spans="1:17" x14ac:dyDescent="0.25">
      <c r="B87" t="s">
        <v>72</v>
      </c>
      <c r="C87" s="21"/>
      <c r="D87" s="41"/>
      <c r="E87" s="42"/>
      <c r="F87" s="3"/>
      <c r="L87" s="53"/>
      <c r="M87" s="37">
        <f>M85-M86</f>
        <v>16725945.441</v>
      </c>
      <c r="N87" s="37">
        <f>M87</f>
        <v>16725945.441</v>
      </c>
    </row>
    <row r="88" spans="1:17" x14ac:dyDescent="0.25">
      <c r="B88" t="s">
        <v>73</v>
      </c>
      <c r="C88" s="21"/>
      <c r="D88" s="41"/>
      <c r="E88" s="42"/>
      <c r="F88" s="3"/>
      <c r="L88" s="53"/>
      <c r="M88" s="36"/>
      <c r="N88" s="37">
        <f>N87+N86</f>
        <v>40863519.498912998</v>
      </c>
    </row>
    <row r="89" spans="1:17" x14ac:dyDescent="0.25">
      <c r="B89" t="s">
        <v>74</v>
      </c>
      <c r="C89" s="21"/>
      <c r="D89" s="41"/>
      <c r="E89" s="42"/>
      <c r="F89" s="3"/>
      <c r="L89" s="53"/>
      <c r="M89" s="36"/>
    </row>
    <row r="90" spans="1:17" x14ac:dyDescent="0.25">
      <c r="B90" t="s">
        <v>75</v>
      </c>
      <c r="C90" s="21"/>
      <c r="D90" s="41"/>
      <c r="E90" s="42"/>
      <c r="F90" s="3"/>
      <c r="L90" s="53"/>
      <c r="M90" s="36"/>
    </row>
    <row r="91" spans="1:17" x14ac:dyDescent="0.25">
      <c r="B91" t="s">
        <v>76</v>
      </c>
      <c r="C91" s="21"/>
      <c r="D91" s="41"/>
      <c r="E91" s="42"/>
      <c r="F91" s="3"/>
      <c r="L91" s="53"/>
      <c r="M91" s="36"/>
    </row>
    <row r="92" spans="1:17" x14ac:dyDescent="0.25">
      <c r="C92" s="21"/>
      <c r="D92" s="41"/>
      <c r="E92" s="42"/>
      <c r="F92" s="3"/>
      <c r="L92" s="53"/>
      <c r="M92" s="36"/>
    </row>
    <row r="93" spans="1:17" x14ac:dyDescent="0.25">
      <c r="C93" s="21"/>
      <c r="D93" s="41"/>
      <c r="E93" s="42"/>
      <c r="F93" s="3"/>
      <c r="L93" s="53"/>
      <c r="M93" s="36"/>
    </row>
    <row r="94" spans="1:17" x14ac:dyDescent="0.25">
      <c r="C94" s="21"/>
      <c r="F94" s="25" t="s">
        <v>81</v>
      </c>
      <c r="G94" s="34"/>
      <c r="H94" s="26" t="s">
        <v>82</v>
      </c>
      <c r="I94" s="26" t="s">
        <v>85</v>
      </c>
      <c r="K94" s="42"/>
      <c r="L94" s="26" t="s">
        <v>86</v>
      </c>
      <c r="M94" s="26" t="s">
        <v>87</v>
      </c>
      <c r="N94" s="26" t="s">
        <v>88</v>
      </c>
      <c r="P94" s="26"/>
      <c r="Q94" s="75"/>
    </row>
    <row r="95" spans="1:17" ht="77.25" x14ac:dyDescent="0.25">
      <c r="F95" s="70" t="s">
        <v>271</v>
      </c>
      <c r="G95" s="72" t="s">
        <v>83</v>
      </c>
      <c r="H95" s="73" t="s">
        <v>84</v>
      </c>
      <c r="I95" s="72" t="s">
        <v>218</v>
      </c>
      <c r="J95" s="71" t="s">
        <v>219</v>
      </c>
      <c r="K95" s="71" t="s">
        <v>220</v>
      </c>
      <c r="L95" s="72" t="s">
        <v>111</v>
      </c>
      <c r="M95" s="72" t="s">
        <v>89</v>
      </c>
      <c r="N95" s="72" t="s">
        <v>221</v>
      </c>
      <c r="O95" s="72" t="s">
        <v>91</v>
      </c>
      <c r="P95" s="73"/>
      <c r="Q95" s="74"/>
    </row>
    <row r="96" spans="1:17" x14ac:dyDescent="0.25">
      <c r="C96" s="1" t="s">
        <v>51</v>
      </c>
      <c r="F96" s="2"/>
      <c r="H96" s="57"/>
      <c r="J96" s="3"/>
      <c r="K96" s="3"/>
      <c r="P96" s="53"/>
      <c r="Q96" s="36"/>
    </row>
    <row r="97" spans="1:17" x14ac:dyDescent="0.25">
      <c r="B97">
        <v>40</v>
      </c>
      <c r="C97" s="46" t="s">
        <v>217</v>
      </c>
      <c r="D97">
        <v>70</v>
      </c>
      <c r="E97" t="s">
        <v>79</v>
      </c>
      <c r="F97" s="49">
        <f>'Retail Rates 2026'!N97</f>
        <v>23.192797500000001</v>
      </c>
      <c r="G97">
        <f>4000*B97/1000</f>
        <v>160</v>
      </c>
      <c r="H97" s="66">
        <f>G97/12</f>
        <v>13.333333333333334</v>
      </c>
      <c r="I97" s="219">
        <f>F97/H97</f>
        <v>1.7394598125</v>
      </c>
      <c r="J97" s="65">
        <f>I97*$N$12</f>
        <v>3.0144838550625004E-2</v>
      </c>
      <c r="K97" s="96">
        <f>J97+I97</f>
        <v>1.7696046510506251</v>
      </c>
      <c r="L97" s="93">
        <f>N33/100</f>
        <v>0</v>
      </c>
      <c r="M97" s="219">
        <f>L97+K97</f>
        <v>1.7696046510506251</v>
      </c>
      <c r="N97" s="94">
        <f>M97*H97</f>
        <v>23.594728680675004</v>
      </c>
      <c r="O97" s="24">
        <f>N97/F97-1</f>
        <v>1.7330000000000068E-2</v>
      </c>
      <c r="P97" s="67"/>
      <c r="Q97" s="69"/>
    </row>
    <row r="98" spans="1:17" x14ac:dyDescent="0.25">
      <c r="B98">
        <v>50</v>
      </c>
      <c r="C98" s="46" t="s">
        <v>217</v>
      </c>
      <c r="D98">
        <v>100</v>
      </c>
      <c r="E98" t="s">
        <v>79</v>
      </c>
      <c r="F98" s="49">
        <f>'Retail Rates 2026'!N98</f>
        <v>25.436371100000002</v>
      </c>
      <c r="G98">
        <f>4000*B98/1000</f>
        <v>200</v>
      </c>
      <c r="H98" s="66">
        <f>G98/12</f>
        <v>16.666666666666668</v>
      </c>
      <c r="I98" s="219">
        <f>F98/H98</f>
        <v>1.526182266</v>
      </c>
      <c r="J98" s="65">
        <f>I98*$N$12</f>
        <v>2.6448738669780002E-2</v>
      </c>
      <c r="K98" s="96">
        <f>J98+I98</f>
        <v>1.55263100466978</v>
      </c>
      <c r="L98" s="93">
        <f>L97</f>
        <v>0</v>
      </c>
      <c r="M98" s="219">
        <f>L98+K98</f>
        <v>1.55263100466978</v>
      </c>
      <c r="N98" s="94">
        <f>M98*H98</f>
        <v>25.877183411163003</v>
      </c>
      <c r="O98" s="24">
        <f>N98/F98-1</f>
        <v>1.7330000000000068E-2</v>
      </c>
      <c r="P98" s="67"/>
      <c r="Q98" s="69"/>
    </row>
    <row r="99" spans="1:17" x14ac:dyDescent="0.25">
      <c r="B99">
        <v>75</v>
      </c>
      <c r="C99" s="46" t="s">
        <v>217</v>
      </c>
      <c r="D99">
        <v>150</v>
      </c>
      <c r="E99" t="s">
        <v>79</v>
      </c>
      <c r="F99" s="49">
        <f>'Retail Rates 2026'!N99</f>
        <v>28.224588099999998</v>
      </c>
      <c r="G99">
        <f>4000*B99/1000</f>
        <v>300</v>
      </c>
      <c r="H99" s="66">
        <f>G99/12</f>
        <v>25</v>
      </c>
      <c r="I99" s="219">
        <f>F99/H99</f>
        <v>1.1289835239999999</v>
      </c>
      <c r="J99" s="65">
        <f>I99*$N$12</f>
        <v>1.956528447092E-2</v>
      </c>
      <c r="K99" s="96">
        <f>J99+I99</f>
        <v>1.1485488084709199</v>
      </c>
      <c r="L99" s="93">
        <f>L98</f>
        <v>0</v>
      </c>
      <c r="M99" s="219">
        <f>L99+K99</f>
        <v>1.1485488084709199</v>
      </c>
      <c r="N99" s="94">
        <f>M99*H99</f>
        <v>28.713720211772998</v>
      </c>
      <c r="O99" s="24">
        <f>N99/F99-1</f>
        <v>1.7330000000000068E-2</v>
      </c>
      <c r="P99" s="67"/>
      <c r="Q99" s="69"/>
    </row>
    <row r="100" spans="1:17" x14ac:dyDescent="0.25">
      <c r="B100">
        <v>115</v>
      </c>
      <c r="C100" s="46" t="s">
        <v>217</v>
      </c>
      <c r="D100">
        <v>200</v>
      </c>
      <c r="E100" t="s">
        <v>79</v>
      </c>
      <c r="F100" s="49">
        <f>'Retail Rates 2026'!N100</f>
        <v>31.964885399999996</v>
      </c>
      <c r="G100">
        <f>4000*B100/1000</f>
        <v>460</v>
      </c>
      <c r="H100" s="66">
        <f>G100/12</f>
        <v>38.333333333333336</v>
      </c>
      <c r="I100" s="219">
        <f>F100/H100</f>
        <v>0.83386657565217381</v>
      </c>
      <c r="J100" s="65">
        <f>I100*$N$12</f>
        <v>1.4450907756052173E-2</v>
      </c>
      <c r="K100" s="96">
        <f>J100+I100</f>
        <v>0.84831748340822599</v>
      </c>
      <c r="L100" s="93">
        <f>L99</f>
        <v>0</v>
      </c>
      <c r="M100" s="219">
        <f>L100+K100</f>
        <v>0.84831748340822599</v>
      </c>
      <c r="N100" s="94">
        <f>M100*H100</f>
        <v>32.518836863981996</v>
      </c>
      <c r="O100" s="24">
        <f>N100/F100-1</f>
        <v>1.7330000000000068E-2</v>
      </c>
      <c r="P100" s="67"/>
      <c r="Q100" s="69"/>
    </row>
    <row r="101" spans="1:17" x14ac:dyDescent="0.25">
      <c r="C101" s="46"/>
      <c r="E101" s="49"/>
      <c r="F101" s="65"/>
      <c r="G101" s="65"/>
      <c r="I101" s="66"/>
      <c r="J101" s="76"/>
      <c r="K101" s="77"/>
      <c r="L101" s="32"/>
      <c r="M101" s="67"/>
      <c r="N101" s="69"/>
    </row>
    <row r="102" spans="1:17" x14ac:dyDescent="0.25">
      <c r="D102" s="2"/>
      <c r="E102" s="45"/>
      <c r="F102" s="3"/>
      <c r="M102" s="120"/>
    </row>
    <row r="103" spans="1:17" x14ac:dyDescent="0.25">
      <c r="M103" s="69"/>
    </row>
    <row r="104" spans="1:17" x14ac:dyDescent="0.25">
      <c r="A104" s="64" t="s">
        <v>93</v>
      </c>
      <c r="B104" s="34" t="s">
        <v>94</v>
      </c>
    </row>
    <row r="105" spans="1:17" ht="30" x14ac:dyDescent="0.25">
      <c r="H105" s="112" t="s">
        <v>116</v>
      </c>
      <c r="I105" s="113" t="s">
        <v>117</v>
      </c>
      <c r="J105" s="109"/>
      <c r="K105" s="113" t="s">
        <v>118</v>
      </c>
      <c r="L105" s="113" t="s">
        <v>7</v>
      </c>
    </row>
    <row r="106" spans="1:17" x14ac:dyDescent="0.25">
      <c r="B106" t="s">
        <v>95</v>
      </c>
      <c r="H106" s="114">
        <f>G53</f>
        <v>0.189177751020039</v>
      </c>
      <c r="I106" s="109">
        <v>2</v>
      </c>
      <c r="J106" s="114">
        <f>H106*I106</f>
        <v>0.37835550204007801</v>
      </c>
      <c r="K106" s="115">
        <f>H53</f>
        <v>0</v>
      </c>
      <c r="L106" s="114">
        <f>K106+J106</f>
        <v>0.37835550204007801</v>
      </c>
    </row>
    <row r="107" spans="1:17" x14ac:dyDescent="0.25">
      <c r="B107" t="s">
        <v>96</v>
      </c>
      <c r="H107" s="114">
        <f>G53</f>
        <v>0.189177751020039</v>
      </c>
      <c r="I107" s="109">
        <v>1</v>
      </c>
      <c r="J107" s="114">
        <f>H106</f>
        <v>0.189177751020039</v>
      </c>
      <c r="K107" s="115">
        <f>H53</f>
        <v>0</v>
      </c>
      <c r="L107" s="114">
        <f>K107+J107</f>
        <v>0.189177751020039</v>
      </c>
    </row>
    <row r="108" spans="1:17" x14ac:dyDescent="0.25">
      <c r="B108" t="s">
        <v>97</v>
      </c>
    </row>
    <row r="110" spans="1:17" x14ac:dyDescent="0.25">
      <c r="B110" s="109" t="s">
        <v>119</v>
      </c>
      <c r="C110" s="109"/>
      <c r="D110" s="109"/>
      <c r="E110" s="109"/>
      <c r="F110" s="109"/>
      <c r="G110" s="109"/>
    </row>
    <row r="111" spans="1:17" x14ac:dyDescent="0.25">
      <c r="B111" s="109" t="s">
        <v>120</v>
      </c>
      <c r="C111" s="109"/>
      <c r="D111" s="109"/>
      <c r="E111" s="109"/>
      <c r="F111" s="109"/>
      <c r="G111" s="110">
        <f>G115+G116</f>
        <v>0.12213760000000001</v>
      </c>
    </row>
    <row r="112" spans="1:17" x14ac:dyDescent="0.25">
      <c r="B112" s="109"/>
      <c r="C112" s="109"/>
      <c r="D112" s="109"/>
      <c r="E112" s="109"/>
      <c r="F112" s="109"/>
      <c r="G112" s="109"/>
    </row>
    <row r="113" spans="2:9" x14ac:dyDescent="0.25">
      <c r="B113" s="109" t="s">
        <v>98</v>
      </c>
      <c r="C113" s="109"/>
      <c r="D113" s="109"/>
      <c r="E113" s="109"/>
      <c r="F113" s="109"/>
      <c r="G113" s="109">
        <f>'Data and Sources'!L128</f>
        <v>0.11744</v>
      </c>
    </row>
    <row r="114" spans="2:9" x14ac:dyDescent="0.25">
      <c r="B114" s="109" t="s">
        <v>100</v>
      </c>
      <c r="C114" s="109"/>
      <c r="D114" s="109"/>
      <c r="E114" s="109"/>
      <c r="F114" s="109"/>
      <c r="G114" s="111">
        <f>4%+100%</f>
        <v>1.04</v>
      </c>
    </row>
    <row r="115" spans="2:9" x14ac:dyDescent="0.25">
      <c r="B115" s="109" t="s">
        <v>121</v>
      </c>
      <c r="C115" s="109"/>
      <c r="D115" s="109"/>
      <c r="E115" s="109"/>
      <c r="F115" s="109"/>
      <c r="G115" s="110">
        <f>G114*G113</f>
        <v>0.12213760000000001</v>
      </c>
    </row>
    <row r="116" spans="2:9" x14ac:dyDescent="0.25">
      <c r="B116" s="109" t="s">
        <v>99</v>
      </c>
      <c r="C116" s="109"/>
      <c r="D116" s="109"/>
      <c r="E116" s="109"/>
      <c r="F116" s="109"/>
      <c r="G116" s="110">
        <f>N33/100</f>
        <v>0</v>
      </c>
    </row>
    <row r="118" spans="2:9" x14ac:dyDescent="0.25">
      <c r="D118" s="2"/>
      <c r="E118" s="3"/>
      <c r="F118" s="3"/>
      <c r="G118" s="3"/>
    </row>
    <row r="119" spans="2:9" ht="77.25" x14ac:dyDescent="0.25">
      <c r="D119" s="2"/>
      <c r="E119" s="70" t="s">
        <v>271</v>
      </c>
      <c r="F119" s="44" t="s">
        <v>276</v>
      </c>
      <c r="G119" s="63" t="s">
        <v>67</v>
      </c>
      <c r="H119" s="63"/>
      <c r="I119" s="63"/>
    </row>
    <row r="120" spans="2:9" x14ac:dyDescent="0.25">
      <c r="C120" s="1" t="s">
        <v>24</v>
      </c>
      <c r="D120" s="2"/>
      <c r="E120" s="3"/>
      <c r="F120" s="3"/>
      <c r="G120" s="45"/>
    </row>
    <row r="121" spans="2:9" x14ac:dyDescent="0.25">
      <c r="C121" s="46" t="s">
        <v>25</v>
      </c>
      <c r="D121" s="2"/>
      <c r="E121" s="47">
        <v>28.51</v>
      </c>
      <c r="F121" s="47">
        <f>E121</f>
        <v>28.51</v>
      </c>
      <c r="G121" s="68">
        <f>F121/E121-1</f>
        <v>0</v>
      </c>
      <c r="H121" s="48"/>
    </row>
    <row r="122" spans="2:9" x14ac:dyDescent="0.25">
      <c r="C122" s="46" t="s">
        <v>26</v>
      </c>
      <c r="D122" s="2"/>
      <c r="E122" s="51"/>
      <c r="F122" s="3"/>
      <c r="G122" s="80"/>
      <c r="H122" s="48"/>
    </row>
    <row r="123" spans="2:9" x14ac:dyDescent="0.25">
      <c r="C123" s="46" t="s">
        <v>27</v>
      </c>
      <c r="D123" s="2"/>
      <c r="E123" s="51"/>
      <c r="F123" s="3"/>
      <c r="G123" s="80"/>
    </row>
    <row r="124" spans="2:9" x14ac:dyDescent="0.25">
      <c r="C124" s="52" t="s">
        <v>28</v>
      </c>
      <c r="D124" s="2"/>
      <c r="E124" s="220">
        <v>0.36346000000000001</v>
      </c>
      <c r="F124" s="51">
        <f>L106</f>
        <v>0.37835550204007801</v>
      </c>
      <c r="G124" s="69">
        <f t="shared" ref="G124:G133" si="5">F124/E124-1</f>
        <v>4.0982507126170686E-2</v>
      </c>
      <c r="H124" s="53"/>
    </row>
    <row r="125" spans="2:9" x14ac:dyDescent="0.25">
      <c r="C125" s="52" t="s">
        <v>29</v>
      </c>
      <c r="D125" s="2"/>
      <c r="E125" s="51">
        <v>0.18173</v>
      </c>
      <c r="F125" s="51">
        <f>L107</f>
        <v>0.189177751020039</v>
      </c>
      <c r="G125" s="69">
        <f t="shared" si="5"/>
        <v>4.0982507126170686E-2</v>
      </c>
      <c r="H125" s="53"/>
    </row>
    <row r="126" spans="2:9" x14ac:dyDescent="0.25">
      <c r="C126" s="52" t="s">
        <v>30</v>
      </c>
      <c r="D126" s="2"/>
      <c r="E126" s="220">
        <f>E124</f>
        <v>0.36346000000000001</v>
      </c>
      <c r="F126" s="51">
        <f>F124</f>
        <v>0.37835550204007801</v>
      </c>
      <c r="G126" s="69">
        <f t="shared" si="5"/>
        <v>4.0982507126170686E-2</v>
      </c>
      <c r="H126" s="53"/>
    </row>
    <row r="127" spans="2:9" x14ac:dyDescent="0.25">
      <c r="C127" s="52" t="s">
        <v>31</v>
      </c>
      <c r="D127" s="2"/>
      <c r="E127" s="51">
        <v>0.11441</v>
      </c>
      <c r="F127" s="51">
        <f>G111</f>
        <v>0.12213760000000001</v>
      </c>
      <c r="G127" s="69">
        <f t="shared" si="5"/>
        <v>6.754304693645663E-2</v>
      </c>
      <c r="H127" s="53"/>
    </row>
    <row r="128" spans="2:9" x14ac:dyDescent="0.25">
      <c r="C128" s="52" t="s">
        <v>32</v>
      </c>
      <c r="D128" s="2"/>
      <c r="E128" s="51">
        <f>E127</f>
        <v>0.11441</v>
      </c>
      <c r="F128" s="51">
        <f>F127</f>
        <v>0.12213760000000001</v>
      </c>
      <c r="G128" s="69">
        <f t="shared" si="5"/>
        <v>6.754304693645663E-2</v>
      </c>
      <c r="H128" s="53"/>
    </row>
    <row r="129" spans="3:8" x14ac:dyDescent="0.25">
      <c r="C129" s="46" t="s">
        <v>33</v>
      </c>
      <c r="D129" s="2"/>
      <c r="E129" s="51"/>
      <c r="F129" s="51"/>
      <c r="G129" s="69"/>
      <c r="H129" s="53"/>
    </row>
    <row r="130" spans="3:8" x14ac:dyDescent="0.25">
      <c r="C130" s="52" t="s">
        <v>34</v>
      </c>
      <c r="D130" s="2"/>
      <c r="E130" s="51">
        <f>E125</f>
        <v>0.18173</v>
      </c>
      <c r="F130" s="51">
        <f>F125</f>
        <v>0.189177751020039</v>
      </c>
      <c r="G130" s="69">
        <f t="shared" si="5"/>
        <v>4.0982507126170686E-2</v>
      </c>
      <c r="H130" s="53"/>
    </row>
    <row r="131" spans="3:8" x14ac:dyDescent="0.25">
      <c r="C131" s="52" t="s">
        <v>35</v>
      </c>
      <c r="D131" s="2"/>
      <c r="E131" s="51">
        <f>E128</f>
        <v>0.11441</v>
      </c>
      <c r="F131" s="51">
        <f>F127</f>
        <v>0.12213760000000001</v>
      </c>
      <c r="G131" s="69">
        <f t="shared" si="5"/>
        <v>6.754304693645663E-2</v>
      </c>
      <c r="H131" s="53"/>
    </row>
    <row r="132" spans="3:8" x14ac:dyDescent="0.25">
      <c r="C132" s="52" t="s">
        <v>32</v>
      </c>
      <c r="D132" s="2"/>
      <c r="E132" s="51">
        <f>E131</f>
        <v>0.11441</v>
      </c>
      <c r="F132" s="51">
        <f>F128</f>
        <v>0.12213760000000001</v>
      </c>
      <c r="G132" s="69">
        <f t="shared" si="5"/>
        <v>6.754304693645663E-2</v>
      </c>
      <c r="H132" s="53"/>
    </row>
    <row r="133" spans="3:8" x14ac:dyDescent="0.25">
      <c r="C133" s="46" t="s">
        <v>36</v>
      </c>
      <c r="D133" s="2"/>
      <c r="E133" s="51">
        <f>E121</f>
        <v>28.51</v>
      </c>
      <c r="F133" s="51">
        <f>E133</f>
        <v>28.51</v>
      </c>
      <c r="G133" s="69">
        <f t="shared" si="5"/>
        <v>0</v>
      </c>
      <c r="H133" s="53"/>
    </row>
  </sheetData>
  <mergeCells count="2">
    <mergeCell ref="I3:L3"/>
    <mergeCell ref="R49:S49"/>
  </mergeCells>
  <pageMargins left="0.7" right="0.7" top="0.75" bottom="0.75" header="0.3" footer="0.3"/>
  <pageSetup scale="78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0F34E-9A92-44B4-AAC2-8B1781829EBB}">
  <sheetPr>
    <pageSetUpPr fitToPage="1"/>
  </sheetPr>
  <dimension ref="A1:W133"/>
  <sheetViews>
    <sheetView topLeftCell="H31" workbookViewId="0">
      <selection activeCell="J24" sqref="J24"/>
    </sheetView>
  </sheetViews>
  <sheetFormatPr defaultRowHeight="15" x14ac:dyDescent="0.25"/>
  <cols>
    <col min="1" max="1" width="3.28515625" customWidth="1"/>
    <col min="3" max="3" width="12.140625" customWidth="1"/>
    <col min="4" max="4" width="12.5703125" customWidth="1"/>
    <col min="5" max="5" width="13.5703125" customWidth="1"/>
    <col min="6" max="6" width="12.140625" customWidth="1"/>
    <col min="7" max="7" width="11" customWidth="1"/>
    <col min="8" max="8" width="11.85546875" customWidth="1"/>
    <col min="9" max="9" width="11.42578125" customWidth="1"/>
    <col min="10" max="10" width="10.85546875" customWidth="1"/>
    <col min="11" max="12" width="11.140625" customWidth="1"/>
    <col min="13" max="13" width="11.5703125" bestFit="1" customWidth="1"/>
    <col min="14" max="14" width="12.28515625" customWidth="1"/>
    <col min="15" max="15" width="12.140625" customWidth="1"/>
    <col min="16" max="16" width="12.42578125" customWidth="1"/>
    <col min="17" max="17" width="13.5703125" bestFit="1" customWidth="1"/>
    <col min="18" max="18" width="9.42578125" customWidth="1"/>
    <col min="19" max="19" width="13.42578125" customWidth="1"/>
    <col min="20" max="20" width="14.42578125" customWidth="1"/>
  </cols>
  <sheetData>
    <row r="1" spans="2:16" ht="20.25" x14ac:dyDescent="0.3">
      <c r="B1" s="103" t="s">
        <v>250</v>
      </c>
      <c r="C1" s="2"/>
      <c r="D1" s="3"/>
      <c r="E1" s="3"/>
    </row>
    <row r="2" spans="2:16" ht="18.75" x14ac:dyDescent="0.3">
      <c r="B2" s="62" t="s">
        <v>53</v>
      </c>
    </row>
    <row r="3" spans="2:16" ht="42.6" customHeight="1" x14ac:dyDescent="0.25">
      <c r="B3" s="34"/>
      <c r="C3" s="21" t="s">
        <v>253</v>
      </c>
      <c r="D3" s="2"/>
      <c r="E3" s="3"/>
      <c r="F3" s="3"/>
      <c r="I3" s="241"/>
      <c r="J3" s="241"/>
      <c r="K3" s="241"/>
      <c r="L3" s="241"/>
      <c r="M3" s="241"/>
      <c r="O3" s="58">
        <f>'Data and Sources'!G147</f>
        <v>6345618.3247351293</v>
      </c>
    </row>
    <row r="4" spans="2:16" x14ac:dyDescent="0.25">
      <c r="C4" s="21" t="s">
        <v>277</v>
      </c>
      <c r="D4" s="2"/>
      <c r="E4" s="13"/>
      <c r="F4" s="13"/>
      <c r="I4" s="95"/>
      <c r="O4" s="58">
        <f>S45+T45</f>
        <v>8018874.1315228846</v>
      </c>
    </row>
    <row r="5" spans="2:16" x14ac:dyDescent="0.25">
      <c r="C5" s="21"/>
      <c r="D5" s="2"/>
      <c r="E5" s="13"/>
      <c r="F5" s="13"/>
      <c r="I5" s="95"/>
      <c r="O5" s="58"/>
    </row>
    <row r="6" spans="2:16" x14ac:dyDescent="0.25">
      <c r="C6" s="21" t="s">
        <v>18</v>
      </c>
      <c r="D6" s="2"/>
      <c r="E6" s="3"/>
      <c r="F6" s="3"/>
      <c r="O6" s="38">
        <f>O3/O4</f>
        <v>0.79133531972898252</v>
      </c>
    </row>
    <row r="7" spans="2:16" x14ac:dyDescent="0.25">
      <c r="C7" s="21" t="s">
        <v>19</v>
      </c>
      <c r="D7" s="2"/>
      <c r="E7" s="3"/>
      <c r="F7" s="3"/>
      <c r="K7" s="33"/>
      <c r="L7" s="33"/>
      <c r="M7" s="33"/>
      <c r="N7" s="33"/>
      <c r="O7" s="59">
        <f>'Data and Sources'!I149</f>
        <v>5.6502854876816722E-2</v>
      </c>
      <c r="P7" t="s">
        <v>52</v>
      </c>
    </row>
    <row r="8" spans="2:16" x14ac:dyDescent="0.25">
      <c r="C8" s="21" t="s">
        <v>20</v>
      </c>
      <c r="D8" s="2"/>
      <c r="E8" s="3"/>
      <c r="F8" s="3"/>
      <c r="O8" s="216">
        <f>O7*O6</f>
        <v>4.4712704729546061E-2</v>
      </c>
    </row>
    <row r="9" spans="2:16" x14ac:dyDescent="0.25">
      <c r="D9" s="2"/>
      <c r="E9" s="3"/>
      <c r="F9" s="3"/>
    </row>
    <row r="10" spans="2:16" x14ac:dyDescent="0.25">
      <c r="C10" s="40" t="s">
        <v>21</v>
      </c>
      <c r="D10" s="24"/>
      <c r="E10" s="3"/>
      <c r="F10" s="3"/>
      <c r="O10" s="38">
        <f>ROUND(O3/O4,5)</f>
        <v>0.79134000000000004</v>
      </c>
    </row>
    <row r="11" spans="2:16" x14ac:dyDescent="0.25">
      <c r="D11" s="2"/>
      <c r="E11" s="3"/>
      <c r="F11" s="3"/>
    </row>
    <row r="12" spans="2:16" x14ac:dyDescent="0.25">
      <c r="C12" s="40" t="s">
        <v>22</v>
      </c>
      <c r="D12" s="41"/>
      <c r="E12" s="42" t="s">
        <v>215</v>
      </c>
      <c r="F12" s="3"/>
      <c r="O12" s="60">
        <f>ROUND(O7*O10,5)</f>
        <v>4.471E-2</v>
      </c>
    </row>
    <row r="13" spans="2:16" x14ac:dyDescent="0.25">
      <c r="C13" s="21"/>
      <c r="D13" s="41"/>
      <c r="E13" s="42"/>
      <c r="F13" s="3"/>
    </row>
    <row r="14" spans="2:16" x14ac:dyDescent="0.25">
      <c r="C14" s="21"/>
      <c r="D14" s="41"/>
      <c r="E14" s="42"/>
      <c r="F14" s="3"/>
    </row>
    <row r="15" spans="2:16" ht="18.75" x14ac:dyDescent="0.3">
      <c r="B15" s="62" t="s">
        <v>249</v>
      </c>
      <c r="C15" s="21"/>
      <c r="D15" s="41"/>
      <c r="E15" s="42"/>
      <c r="F15" s="3"/>
    </row>
    <row r="16" spans="2:16" x14ac:dyDescent="0.25">
      <c r="C16" s="21"/>
      <c r="D16" s="41"/>
      <c r="E16" s="42"/>
      <c r="F16" s="3"/>
    </row>
    <row r="17" spans="1:17" x14ac:dyDescent="0.25">
      <c r="C17" s="21"/>
      <c r="D17" s="41"/>
      <c r="E17" s="42"/>
      <c r="F17" s="3"/>
    </row>
    <row r="18" spans="1:17" x14ac:dyDescent="0.25">
      <c r="A18" s="64" t="s">
        <v>68</v>
      </c>
      <c r="B18" s="34" t="s">
        <v>55</v>
      </c>
      <c r="C18" s="21"/>
      <c r="D18" s="41"/>
      <c r="E18" s="42"/>
      <c r="F18" s="3"/>
    </row>
    <row r="19" spans="1:17" x14ac:dyDescent="0.25">
      <c r="B19" s="34" t="s">
        <v>56</v>
      </c>
      <c r="C19" s="21"/>
      <c r="D19" s="41"/>
      <c r="E19" s="42"/>
      <c r="F19" s="3"/>
    </row>
    <row r="20" spans="1:17" x14ac:dyDescent="0.25">
      <c r="B20" t="s">
        <v>57</v>
      </c>
      <c r="C20" s="21"/>
      <c r="D20" s="41"/>
      <c r="E20" s="42"/>
      <c r="F20" s="3"/>
    </row>
    <row r="21" spans="1:17" x14ac:dyDescent="0.25">
      <c r="B21" t="s">
        <v>58</v>
      </c>
      <c r="C21" s="21"/>
      <c r="D21" s="41"/>
      <c r="E21" s="42"/>
      <c r="F21" s="3"/>
    </row>
    <row r="22" spans="1:17" x14ac:dyDescent="0.25">
      <c r="B22" t="s">
        <v>59</v>
      </c>
      <c r="C22" s="21"/>
      <c r="D22" s="41"/>
      <c r="E22" s="42"/>
      <c r="F22" s="3"/>
    </row>
    <row r="23" spans="1:17" x14ac:dyDescent="0.25">
      <c r="C23" s="21"/>
      <c r="D23" s="41"/>
      <c r="E23" s="42"/>
      <c r="F23" s="3"/>
      <c r="M23" t="s">
        <v>263</v>
      </c>
      <c r="N23" t="s">
        <v>264</v>
      </c>
      <c r="O23" t="s">
        <v>265</v>
      </c>
    </row>
    <row r="24" spans="1:17" x14ac:dyDescent="0.25">
      <c r="B24" t="s">
        <v>60</v>
      </c>
      <c r="C24" s="21"/>
      <c r="D24" s="41"/>
      <c r="E24" s="42"/>
      <c r="F24" s="3"/>
      <c r="M24" s="78">
        <f>'Data and Sources'!E130</f>
        <v>6.28E-3</v>
      </c>
      <c r="N24">
        <f>'Data and Sources'!I130</f>
        <v>2.65E-3</v>
      </c>
      <c r="O24" s="76">
        <f>N24-M24</f>
        <v>-3.63E-3</v>
      </c>
    </row>
    <row r="25" spans="1:17" x14ac:dyDescent="0.25">
      <c r="B25" t="s">
        <v>61</v>
      </c>
      <c r="C25" s="21"/>
      <c r="D25" s="41"/>
      <c r="E25" s="42"/>
      <c r="F25" s="3"/>
      <c r="M25" s="78">
        <f>'Data and Sources'!E131</f>
        <v>1.07E-3</v>
      </c>
      <c r="N25">
        <f>'Data and Sources'!I131</f>
        <v>1.0499999999999999E-3</v>
      </c>
      <c r="O25" s="76">
        <f>N25-M25</f>
        <v>-2.0000000000000052E-5</v>
      </c>
      <c r="P25" s="95"/>
    </row>
    <row r="26" spans="1:17" x14ac:dyDescent="0.25">
      <c r="B26" t="s">
        <v>62</v>
      </c>
      <c r="C26" s="21"/>
      <c r="D26" s="41"/>
      <c r="E26" s="42"/>
      <c r="F26" s="3"/>
      <c r="M26" s="78">
        <f>M25+M24</f>
        <v>7.3499999999999998E-3</v>
      </c>
      <c r="N26" s="76">
        <f>N24+N25</f>
        <v>3.7000000000000002E-3</v>
      </c>
      <c r="O26" s="76">
        <f>O24+O25</f>
        <v>-3.65E-3</v>
      </c>
    </row>
    <row r="27" spans="1:17" x14ac:dyDescent="0.25">
      <c r="B27" t="s">
        <v>63</v>
      </c>
      <c r="C27" s="21"/>
      <c r="D27" s="41"/>
      <c r="E27" s="42"/>
      <c r="F27" s="3"/>
      <c r="O27" s="2">
        <f>'Data and Sources'!C95</f>
        <v>43222090</v>
      </c>
      <c r="P27" s="95"/>
    </row>
    <row r="28" spans="1:17" x14ac:dyDescent="0.25">
      <c r="B28" t="s">
        <v>64</v>
      </c>
      <c r="C28" s="21"/>
      <c r="D28" s="41"/>
      <c r="E28" s="42"/>
      <c r="F28" s="3"/>
      <c r="O28" s="37">
        <f>O27*O26</f>
        <v>-157760.62849999999</v>
      </c>
    </row>
    <row r="29" spans="1:17" ht="15.75" x14ac:dyDescent="0.25">
      <c r="B29" t="s">
        <v>65</v>
      </c>
      <c r="C29" s="21"/>
      <c r="D29" s="41"/>
      <c r="E29" s="42"/>
      <c r="F29" s="3"/>
      <c r="K29" s="61"/>
      <c r="L29" s="61"/>
      <c r="O29" s="81">
        <f>'Data and Sources'!E105</f>
        <v>40416779</v>
      </c>
    </row>
    <row r="30" spans="1:17" x14ac:dyDescent="0.25">
      <c r="B30" t="s">
        <v>106</v>
      </c>
      <c r="C30" s="21"/>
      <c r="D30" s="41"/>
      <c r="E30" s="42"/>
      <c r="F30" s="3"/>
      <c r="O30" s="36">
        <f>ROUND(O28/O29*100,3)</f>
        <v>-0.39</v>
      </c>
      <c r="Q30" t="s">
        <v>101</v>
      </c>
    </row>
    <row r="31" spans="1:17" x14ac:dyDescent="0.25">
      <c r="C31" s="21"/>
      <c r="D31" s="41"/>
      <c r="E31" s="42"/>
      <c r="F31" s="3"/>
      <c r="Q31" s="82">
        <f>(O27-O29)/O27</f>
        <v>6.4904566160498028E-2</v>
      </c>
    </row>
    <row r="32" spans="1:17" x14ac:dyDescent="0.25">
      <c r="C32" s="21"/>
      <c r="D32" s="41"/>
      <c r="E32" s="42"/>
      <c r="F32" s="3"/>
      <c r="Q32" s="82"/>
    </row>
    <row r="33" spans="2:20" x14ac:dyDescent="0.25">
      <c r="B33" t="s">
        <v>107</v>
      </c>
      <c r="O33" s="36">
        <f>O30</f>
        <v>-0.39</v>
      </c>
      <c r="Q33" s="82"/>
    </row>
    <row r="34" spans="2:20" x14ac:dyDescent="0.25">
      <c r="O34" s="36"/>
      <c r="Q34" s="82"/>
    </row>
    <row r="35" spans="2:20" x14ac:dyDescent="0.25">
      <c r="O35" s="36"/>
      <c r="Q35" s="82"/>
    </row>
    <row r="36" spans="2:20" x14ac:dyDescent="0.25">
      <c r="K36" s="34" t="s">
        <v>257</v>
      </c>
      <c r="L36" s="34"/>
      <c r="O36" s="36"/>
      <c r="P36" s="243" t="s">
        <v>278</v>
      </c>
      <c r="Q36" s="243"/>
      <c r="R36" s="243"/>
      <c r="S36" s="243"/>
      <c r="T36" s="34" t="s">
        <v>279</v>
      </c>
    </row>
    <row r="37" spans="2:20" ht="45" x14ac:dyDescent="0.25">
      <c r="O37" s="36"/>
      <c r="P37" s="72" t="s">
        <v>210</v>
      </c>
      <c r="Q37" s="72" t="s">
        <v>211</v>
      </c>
      <c r="S37" s="72" t="s">
        <v>256</v>
      </c>
    </row>
    <row r="38" spans="2:20" x14ac:dyDescent="0.25">
      <c r="K38" t="s">
        <v>258</v>
      </c>
      <c r="O38" s="36"/>
      <c r="P38" s="143">
        <f>P57</f>
        <v>3885616.2259372463</v>
      </c>
      <c r="Q38" s="143">
        <f>Q57</f>
        <v>3967822.3246825556</v>
      </c>
      <c r="S38" s="143">
        <f>S57</f>
        <v>3885616.2259372463</v>
      </c>
      <c r="T38" s="143">
        <f>-S51</f>
        <v>-349807.95028807467</v>
      </c>
    </row>
    <row r="39" spans="2:20" x14ac:dyDescent="0.25">
      <c r="K39" t="s">
        <v>135</v>
      </c>
      <c r="O39" s="36"/>
      <c r="P39" s="143">
        <f>P63</f>
        <v>177424.24693674434</v>
      </c>
      <c r="Q39" s="143">
        <f>Q63</f>
        <v>180820.97826377145</v>
      </c>
      <c r="S39" s="143">
        <f>S63</f>
        <v>185048.51756426576</v>
      </c>
      <c r="T39" s="143">
        <f>-S60</f>
        <v>-35753.306999858862</v>
      </c>
    </row>
    <row r="40" spans="2:20" x14ac:dyDescent="0.25">
      <c r="K40" t="s">
        <v>136</v>
      </c>
      <c r="O40" s="36"/>
      <c r="P40" s="143">
        <f>P71</f>
        <v>2421420.2934743818</v>
      </c>
      <c r="Q40" s="143">
        <f>Q71</f>
        <v>2488939.331752819</v>
      </c>
      <c r="S40" s="143">
        <f>S71</f>
        <v>2525567.6453990247</v>
      </c>
    </row>
    <row r="41" spans="2:20" x14ac:dyDescent="0.25">
      <c r="K41" t="s">
        <v>137</v>
      </c>
      <c r="O41" s="36"/>
      <c r="P41" s="143">
        <f>P78</f>
        <v>1476989.0315135904</v>
      </c>
      <c r="Q41" s="143">
        <f>Q78</f>
        <v>1513600.758846934</v>
      </c>
      <c r="S41" s="143">
        <f>S78</f>
        <v>1540498.2799102808</v>
      </c>
    </row>
    <row r="42" spans="2:20" x14ac:dyDescent="0.25">
      <c r="K42" t="s">
        <v>259</v>
      </c>
      <c r="O42" s="36"/>
      <c r="P42" s="143">
        <v>195461</v>
      </c>
      <c r="Q42" s="143">
        <v>195461</v>
      </c>
      <c r="S42" s="143">
        <v>195461</v>
      </c>
    </row>
    <row r="43" spans="2:20" x14ac:dyDescent="0.25">
      <c r="K43" t="s">
        <v>134</v>
      </c>
      <c r="O43" s="36"/>
      <c r="P43" s="143">
        <v>78744</v>
      </c>
      <c r="Q43" s="143">
        <v>78744</v>
      </c>
      <c r="S43" s="143">
        <v>78744</v>
      </c>
      <c r="T43" s="37">
        <f>-E121*12*19</f>
        <v>-6500.28</v>
      </c>
    </row>
    <row r="44" spans="2:20" x14ac:dyDescent="0.25">
      <c r="O44" s="36"/>
    </row>
    <row r="45" spans="2:20" x14ac:dyDescent="0.25">
      <c r="K45" t="s">
        <v>7</v>
      </c>
      <c r="O45" s="36"/>
      <c r="P45" s="143">
        <f>SUM(P38:P44)</f>
        <v>8235654.7978619635</v>
      </c>
      <c r="Q45" s="143">
        <f>SUM(Q38:Q44)</f>
        <v>8425388.3935460802</v>
      </c>
      <c r="S45" s="143">
        <f>SUM(S38:S44)</f>
        <v>8410935.6688108183</v>
      </c>
      <c r="T45" s="143">
        <f>SUM(T38:T44)</f>
        <v>-392061.53728793358</v>
      </c>
    </row>
    <row r="46" spans="2:20" x14ac:dyDescent="0.25">
      <c r="O46" s="36"/>
      <c r="Q46" s="24">
        <f>Q45/P45-1</f>
        <v>2.3038070480245532E-2</v>
      </c>
    </row>
    <row r="47" spans="2:20" x14ac:dyDescent="0.25">
      <c r="O47" s="36"/>
      <c r="Q47" s="82"/>
      <c r="S47" s="143"/>
    </row>
    <row r="48" spans="2:20" x14ac:dyDescent="0.25">
      <c r="C48" s="21"/>
      <c r="D48" s="41"/>
      <c r="E48" s="42"/>
      <c r="F48" s="3"/>
      <c r="N48" s="34" t="s">
        <v>173</v>
      </c>
      <c r="O48" s="35"/>
    </row>
    <row r="49" spans="2:23" ht="75" x14ac:dyDescent="0.25">
      <c r="D49" s="2"/>
      <c r="E49" s="70" t="s">
        <v>208</v>
      </c>
      <c r="F49" s="72" t="s">
        <v>254</v>
      </c>
      <c r="G49" s="72" t="s">
        <v>255</v>
      </c>
      <c r="H49" s="71" t="s">
        <v>23</v>
      </c>
      <c r="I49" s="71" t="s">
        <v>80</v>
      </c>
      <c r="J49" s="73" t="s">
        <v>110</v>
      </c>
      <c r="K49" s="72" t="s">
        <v>261</v>
      </c>
      <c r="L49" s="72" t="s">
        <v>262</v>
      </c>
      <c r="M49" s="26" t="s">
        <v>66</v>
      </c>
      <c r="O49" s="72" t="s">
        <v>207</v>
      </c>
      <c r="P49" s="72" t="s">
        <v>210</v>
      </c>
      <c r="Q49" s="72" t="s">
        <v>211</v>
      </c>
      <c r="S49" s="72" t="s">
        <v>256</v>
      </c>
      <c r="T49" s="72" t="s">
        <v>209</v>
      </c>
      <c r="V49" s="242" t="s">
        <v>108</v>
      </c>
      <c r="W49" s="242"/>
    </row>
    <row r="50" spans="2:23" x14ac:dyDescent="0.25">
      <c r="C50" s="1" t="s">
        <v>37</v>
      </c>
      <c r="D50" s="2"/>
      <c r="E50" s="51"/>
      <c r="H50" s="3"/>
      <c r="J50" s="53"/>
    </row>
    <row r="51" spans="2:23" x14ac:dyDescent="0.25">
      <c r="C51" s="46" t="s">
        <v>38</v>
      </c>
      <c r="D51" s="2"/>
      <c r="E51" s="5">
        <v>15.04</v>
      </c>
      <c r="F51" s="78">
        <f>E51</f>
        <v>15.04</v>
      </c>
      <c r="G51" s="239">
        <f>F51-E51</f>
        <v>0</v>
      </c>
      <c r="H51" s="3"/>
      <c r="I51" s="31">
        <f>H51+F51</f>
        <v>15.04</v>
      </c>
      <c r="J51" s="53"/>
      <c r="K51" s="50">
        <f>J51+I51</f>
        <v>15.04</v>
      </c>
      <c r="L51" s="50">
        <f>K51-G51</f>
        <v>15.04</v>
      </c>
      <c r="M51" s="24">
        <f>L51/E51-1</f>
        <v>0</v>
      </c>
      <c r="N51" s="240">
        <f>1+'Test Year Load Forecast'!J14</f>
        <v>1.013562321959919</v>
      </c>
      <c r="O51" s="217">
        <f>T51*(1+'Test Year Load Forecast'!L$14)</f>
        <v>23258.507332983689</v>
      </c>
      <c r="P51" s="218">
        <f>O51*E51</f>
        <v>349807.95028807467</v>
      </c>
      <c r="Q51" s="218">
        <f>O51*L51</f>
        <v>349807.95028807467</v>
      </c>
      <c r="S51" s="218">
        <f>F51*O51</f>
        <v>349807.95028807467</v>
      </c>
      <c r="T51" s="217">
        <v>22762.719811622865</v>
      </c>
      <c r="V51" s="94">
        <f>E51</f>
        <v>15.04</v>
      </c>
      <c r="W51" s="94">
        <f>K51</f>
        <v>15.04</v>
      </c>
    </row>
    <row r="52" spans="2:23" x14ac:dyDescent="0.25">
      <c r="C52" s="52" t="s">
        <v>39</v>
      </c>
      <c r="D52" s="2"/>
      <c r="E52" s="5">
        <v>0.18173</v>
      </c>
      <c r="F52" s="5">
        <v>0.18173</v>
      </c>
      <c r="G52" s="239">
        <f>F52-E52</f>
        <v>0</v>
      </c>
      <c r="H52" s="5">
        <f>F52*$O$12</f>
        <v>8.1251482999999992E-3</v>
      </c>
      <c r="I52" s="31">
        <f t="shared" ref="I52:I55" si="0">H52+F52</f>
        <v>0.1898551483</v>
      </c>
      <c r="J52" s="31">
        <f>$O$33/100</f>
        <v>-3.9000000000000003E-3</v>
      </c>
      <c r="K52" s="78">
        <f>J52+I52</f>
        <v>0.18595514830000001</v>
      </c>
      <c r="L52" s="50">
        <f t="shared" ref="L52:L55" si="1">K52-G52</f>
        <v>0.18595514830000001</v>
      </c>
      <c r="M52" s="24">
        <f t="shared" ref="M52:M55" si="2">L52/E52-1</f>
        <v>2.3249591701975492E-2</v>
      </c>
      <c r="O52" s="217"/>
      <c r="Q52" s="218"/>
      <c r="S52" s="218"/>
      <c r="T52" s="217"/>
      <c r="V52" s="94">
        <f>200*E52</f>
        <v>36.346000000000004</v>
      </c>
      <c r="W52" s="94">
        <f>200*K52</f>
        <v>37.191029660000005</v>
      </c>
    </row>
    <row r="53" spans="2:23" x14ac:dyDescent="0.25">
      <c r="C53" s="52" t="s">
        <v>40</v>
      </c>
      <c r="D53" s="2"/>
      <c r="E53" s="5">
        <f>E52</f>
        <v>0.18173</v>
      </c>
      <c r="F53" s="5">
        <f>F52</f>
        <v>0.18173</v>
      </c>
      <c r="G53" s="239">
        <f t="shared" ref="G53:G54" si="3">F53-E53</f>
        <v>0</v>
      </c>
      <c r="H53" s="5">
        <f t="shared" ref="H53:H54" si="4">F53*$O$12</f>
        <v>8.1251482999999992E-3</v>
      </c>
      <c r="I53" s="31">
        <f t="shared" si="0"/>
        <v>0.1898551483</v>
      </c>
      <c r="J53" s="31">
        <f t="shared" ref="J53:J54" si="5">$O$33/100</f>
        <v>-3.9000000000000003E-3</v>
      </c>
      <c r="K53" s="78">
        <f>J53+I53</f>
        <v>0.18595514830000001</v>
      </c>
      <c r="L53" s="50">
        <f t="shared" si="1"/>
        <v>0.18595514830000001</v>
      </c>
      <c r="M53" s="24">
        <f t="shared" si="2"/>
        <v>2.3249591701975492E-2</v>
      </c>
      <c r="O53" s="217">
        <f>0</f>
        <v>0</v>
      </c>
      <c r="Q53" s="218"/>
      <c r="S53" s="218"/>
      <c r="T53" s="217">
        <v>4552543.9623245727</v>
      </c>
      <c r="V53" s="94">
        <f>550*E53</f>
        <v>99.951499999999996</v>
      </c>
      <c r="W53" s="94">
        <f>550*K53</f>
        <v>102.275331565</v>
      </c>
    </row>
    <row r="54" spans="2:23" x14ac:dyDescent="0.25">
      <c r="C54" s="52" t="s">
        <v>112</v>
      </c>
      <c r="D54" s="2"/>
      <c r="E54" s="5">
        <f>E53</f>
        <v>0.18173</v>
      </c>
      <c r="F54" s="5">
        <f>F53</f>
        <v>0.18173</v>
      </c>
      <c r="G54" s="239">
        <f t="shared" si="3"/>
        <v>0</v>
      </c>
      <c r="H54" s="5">
        <f t="shared" si="4"/>
        <v>8.1251482999999992E-3</v>
      </c>
      <c r="I54" s="31">
        <f t="shared" si="0"/>
        <v>0.1898551483</v>
      </c>
      <c r="J54" s="31">
        <f t="shared" si="5"/>
        <v>-3.9000000000000003E-3</v>
      </c>
      <c r="K54" s="78">
        <f>J54+I54</f>
        <v>0.18595514830000001</v>
      </c>
      <c r="L54" s="50">
        <f t="shared" si="1"/>
        <v>0.18595514830000001</v>
      </c>
      <c r="M54" s="24">
        <f t="shared" si="2"/>
        <v>2.3249591701975492E-2</v>
      </c>
      <c r="O54" s="217">
        <f>O57</f>
        <v>19456381.861273162</v>
      </c>
      <c r="P54" s="218">
        <f>O54*E54</f>
        <v>3535808.2756491718</v>
      </c>
      <c r="Q54" s="218">
        <f>O54*L54</f>
        <v>3618014.3743944811</v>
      </c>
      <c r="S54" s="218">
        <f>F54*O54</f>
        <v>3535808.2756491718</v>
      </c>
      <c r="T54" s="217">
        <v>14489097.984664807</v>
      </c>
      <c r="V54" s="94">
        <f>SUM(V51:V53)</f>
        <v>151.33750000000001</v>
      </c>
      <c r="W54" s="94">
        <f>SUM(W51:W53)</f>
        <v>154.50636122500001</v>
      </c>
    </row>
    <row r="55" spans="2:23" x14ac:dyDescent="0.25">
      <c r="C55" s="52" t="s">
        <v>36</v>
      </c>
      <c r="D55" s="2"/>
      <c r="E55" s="5">
        <f>E51</f>
        <v>15.04</v>
      </c>
      <c r="F55" s="5">
        <f>F51</f>
        <v>15.04</v>
      </c>
      <c r="H55" s="3"/>
      <c r="I55" s="31">
        <f t="shared" si="0"/>
        <v>15.04</v>
      </c>
      <c r="J55" s="53"/>
      <c r="K55" s="78">
        <f>I55</f>
        <v>15.04</v>
      </c>
      <c r="L55" s="50">
        <f t="shared" si="1"/>
        <v>15.04</v>
      </c>
      <c r="M55" s="24">
        <f t="shared" si="2"/>
        <v>0</v>
      </c>
      <c r="T55" s="135">
        <f>T54+T53</f>
        <v>19041641.94698938</v>
      </c>
      <c r="W55" s="24">
        <f>W54/V54-1</f>
        <v>2.0939035103659132E-2</v>
      </c>
    </row>
    <row r="56" spans="2:23" x14ac:dyDescent="0.25">
      <c r="D56" s="2"/>
      <c r="E56" s="51"/>
      <c r="H56" s="3"/>
      <c r="I56" s="50"/>
      <c r="J56" s="53"/>
      <c r="W56" s="94">
        <f>W54-V54</f>
        <v>3.1688612250000006</v>
      </c>
    </row>
    <row r="57" spans="2:23" x14ac:dyDescent="0.25">
      <c r="C57" s="52" t="s">
        <v>212</v>
      </c>
      <c r="D57" s="2"/>
      <c r="E57" s="51"/>
      <c r="H57" s="3"/>
      <c r="I57" s="50"/>
      <c r="J57" s="53"/>
      <c r="O57" s="81">
        <f>'Test Year Load Forecast'!K14</f>
        <v>19456381.861273162</v>
      </c>
      <c r="P57" s="218">
        <f>SUM(P50:P54)</f>
        <v>3885616.2259372463</v>
      </c>
      <c r="Q57" s="218">
        <f>SUM(Q50:Q54)</f>
        <v>3967822.3246825556</v>
      </c>
      <c r="R57" s="38">
        <f>Q57/P57-1</f>
        <v>2.1156515199974635E-2</v>
      </c>
      <c r="S57" s="218">
        <f>SUM(S50:S54)</f>
        <v>3885616.2259372463</v>
      </c>
    </row>
    <row r="58" spans="2:23" x14ac:dyDescent="0.25">
      <c r="D58" s="2"/>
      <c r="E58" s="51"/>
      <c r="H58" s="3"/>
      <c r="I58" s="50"/>
      <c r="J58" s="53"/>
      <c r="P58" s="94"/>
    </row>
    <row r="59" spans="2:23" x14ac:dyDescent="0.25">
      <c r="C59" s="1" t="s">
        <v>41</v>
      </c>
      <c r="D59" s="2"/>
      <c r="E59" s="51"/>
      <c r="H59" s="3"/>
      <c r="I59" s="50"/>
      <c r="J59" s="53"/>
      <c r="Q59" s="218"/>
    </row>
    <row r="60" spans="2:23" x14ac:dyDescent="0.25">
      <c r="B60" s="54"/>
      <c r="C60" s="46" t="s">
        <v>42</v>
      </c>
      <c r="D60" s="55"/>
      <c r="E60" s="5">
        <v>14.68</v>
      </c>
      <c r="F60" s="5">
        <v>15.31</v>
      </c>
      <c r="G60" s="239">
        <f>F60-E60</f>
        <v>0.63000000000000078</v>
      </c>
      <c r="H60" s="79"/>
      <c r="I60" s="31">
        <f>H60+F60</f>
        <v>15.31</v>
      </c>
      <c r="J60" s="31"/>
      <c r="K60" s="50">
        <f>J60+I60</f>
        <v>15.31</v>
      </c>
      <c r="L60" s="50">
        <f t="shared" ref="L60:L62" si="6">K60-G60</f>
        <v>14.68</v>
      </c>
      <c r="M60" s="24">
        <f t="shared" ref="M60:M62" si="7">L60/E60-1</f>
        <v>0</v>
      </c>
      <c r="O60" s="217">
        <f>T60*(1+'Test Year Load Forecast'!L16)</f>
        <v>2335.2911169078288</v>
      </c>
      <c r="P60" s="218">
        <f>O60*E60</f>
        <v>34282.07359620693</v>
      </c>
      <c r="Q60" s="218">
        <f t="shared" ref="Q60:Q61" si="8">O60*L60</f>
        <v>34282.07359620693</v>
      </c>
      <c r="S60" s="218">
        <f t="shared" ref="S60:S61" si="9">F60*O60</f>
        <v>35753.306999858862</v>
      </c>
      <c r="T60" s="217">
        <v>2671.0377216144852</v>
      </c>
    </row>
    <row r="61" spans="2:23" x14ac:dyDescent="0.25">
      <c r="C61" s="52" t="s">
        <v>43</v>
      </c>
      <c r="D61" s="2"/>
      <c r="E61" s="5">
        <v>0.17029</v>
      </c>
      <c r="F61" s="5">
        <v>0.17760999999999999</v>
      </c>
      <c r="G61" s="239">
        <f>F61-E61</f>
        <v>7.3199999999999932E-3</v>
      </c>
      <c r="H61" s="5">
        <f>F61*$O$12</f>
        <v>7.9409431000000003E-3</v>
      </c>
      <c r="I61" s="31">
        <f t="shared" ref="I61:I62" si="10">H61+F61</f>
        <v>0.18555094309999998</v>
      </c>
      <c r="J61" s="31">
        <f t="shared" ref="J61" si="11">$O$33/100</f>
        <v>-3.9000000000000003E-3</v>
      </c>
      <c r="K61" s="50">
        <f>J61+I61</f>
        <v>0.18165094309999999</v>
      </c>
      <c r="L61" s="50">
        <f t="shared" si="6"/>
        <v>0.1743309431</v>
      </c>
      <c r="M61" s="24">
        <f t="shared" si="7"/>
        <v>2.3729773327852532E-2</v>
      </c>
      <c r="O61" s="217">
        <f>'Test Year Load Forecast'!K16</f>
        <v>840578.85571987438</v>
      </c>
      <c r="P61" s="218">
        <f>O61*E61</f>
        <v>143142.17334053741</v>
      </c>
      <c r="Q61" s="218">
        <f t="shared" si="8"/>
        <v>146538.90466756452</v>
      </c>
      <c r="S61" s="218">
        <f t="shared" si="9"/>
        <v>149295.21056440688</v>
      </c>
      <c r="T61" s="217">
        <v>961429.52600797312</v>
      </c>
    </row>
    <row r="62" spans="2:23" x14ac:dyDescent="0.25">
      <c r="C62" s="52" t="s">
        <v>36</v>
      </c>
      <c r="D62" s="2"/>
      <c r="E62" s="5">
        <f>E60</f>
        <v>14.68</v>
      </c>
      <c r="F62" s="5">
        <v>15.31</v>
      </c>
      <c r="G62" s="239">
        <f t="shared" ref="G62" si="12">F62-E62</f>
        <v>0.63000000000000078</v>
      </c>
      <c r="H62" s="5"/>
      <c r="I62" s="31">
        <f t="shared" si="10"/>
        <v>15.31</v>
      </c>
      <c r="J62" s="31"/>
      <c r="K62" s="50">
        <f>J62+I62</f>
        <v>15.31</v>
      </c>
      <c r="L62" s="50">
        <f t="shared" si="6"/>
        <v>14.68</v>
      </c>
      <c r="M62" s="24">
        <f t="shared" si="7"/>
        <v>0</v>
      </c>
    </row>
    <row r="63" spans="2:23" x14ac:dyDescent="0.25">
      <c r="C63" s="52"/>
      <c r="D63" s="2"/>
      <c r="E63" s="5"/>
      <c r="H63" s="5"/>
      <c r="I63" s="31"/>
      <c r="J63" s="31"/>
      <c r="K63" s="50"/>
      <c r="L63" s="50"/>
      <c r="M63" s="24"/>
      <c r="P63" s="143">
        <f>P60+P61</f>
        <v>177424.24693674434</v>
      </c>
      <c r="Q63" s="143">
        <f>Q60+Q61</f>
        <v>180820.97826377145</v>
      </c>
      <c r="R63" s="38">
        <f>Q63/P63-1</f>
        <v>1.9144685045433096E-2</v>
      </c>
      <c r="S63" s="143">
        <f>S60+S61</f>
        <v>185048.51756426576</v>
      </c>
    </row>
    <row r="64" spans="2:23" x14ac:dyDescent="0.25">
      <c r="C64" s="52"/>
      <c r="D64" s="2"/>
      <c r="E64" s="5"/>
      <c r="H64" s="5"/>
      <c r="I64" s="31"/>
      <c r="J64" s="31"/>
      <c r="K64" s="50"/>
      <c r="L64" s="50"/>
      <c r="M64" s="24"/>
    </row>
    <row r="65" spans="1:20" x14ac:dyDescent="0.25">
      <c r="D65" s="2"/>
      <c r="E65" s="51"/>
      <c r="H65" s="3"/>
      <c r="I65" s="50"/>
      <c r="J65" s="53"/>
      <c r="Q65" s="108"/>
    </row>
    <row r="66" spans="1:20" x14ac:dyDescent="0.25">
      <c r="C66" s="1" t="s">
        <v>44</v>
      </c>
      <c r="D66" s="2"/>
      <c r="E66" s="51"/>
      <c r="H66" s="3"/>
      <c r="I66" s="50"/>
      <c r="J66" s="53"/>
    </row>
    <row r="67" spans="1:20" x14ac:dyDescent="0.25">
      <c r="C67" s="46" t="s">
        <v>45</v>
      </c>
      <c r="D67" s="2"/>
      <c r="E67" s="5">
        <v>10</v>
      </c>
      <c r="F67" s="5">
        <v>10.43</v>
      </c>
      <c r="G67" s="239">
        <f t="shared" ref="G67:G70" si="13">F67-E67</f>
        <v>0.42999999999999972</v>
      </c>
      <c r="H67" s="5">
        <f t="shared" ref="H67:H69" si="14">F67*$O$12</f>
        <v>0.4663253</v>
      </c>
      <c r="I67" s="31">
        <f t="shared" ref="I67:I70" si="15">H67+F67</f>
        <v>10.896325299999999</v>
      </c>
      <c r="J67" s="5"/>
      <c r="K67" s="31">
        <f>J67+I67</f>
        <v>10.896325299999999</v>
      </c>
      <c r="L67" s="50">
        <f t="shared" ref="L67:L70" si="16">K67-G67</f>
        <v>10.466325299999999</v>
      </c>
      <c r="M67" s="24">
        <f t="shared" ref="M67:M70" si="17">L67/E67-1</f>
        <v>4.6632529999999894E-2</v>
      </c>
      <c r="O67" s="37">
        <f>T67*(1+'Test Year Load Forecast'!L17)</f>
        <v>42323.175131361066</v>
      </c>
      <c r="P67" s="58">
        <f>O67*E67</f>
        <v>423231.75131361064</v>
      </c>
      <c r="Q67" s="218">
        <f t="shared" ref="Q67:Q69" si="18">O67*L67</f>
        <v>442968.1186536951</v>
      </c>
      <c r="S67" s="218">
        <f t="shared" ref="S67:S69" si="19">F67*O67</f>
        <v>441430.71662009589</v>
      </c>
      <c r="T67" s="135">
        <v>45075.256927644565</v>
      </c>
    </row>
    <row r="68" spans="1:20" x14ac:dyDescent="0.25">
      <c r="C68" s="52" t="s">
        <v>46</v>
      </c>
      <c r="D68" s="2"/>
      <c r="E68" s="5">
        <v>0.21490999999999999</v>
      </c>
      <c r="F68" s="5">
        <v>0.22414999999999999</v>
      </c>
      <c r="G68" s="239">
        <f t="shared" si="13"/>
        <v>9.2399999999999982E-3</v>
      </c>
      <c r="H68" s="5">
        <f t="shared" si="14"/>
        <v>1.00217465E-2</v>
      </c>
      <c r="I68" s="31">
        <f t="shared" si="15"/>
        <v>0.2341717465</v>
      </c>
      <c r="J68" s="31">
        <f t="shared" ref="J68:J69" si="20">$O$33/100</f>
        <v>-3.9000000000000003E-3</v>
      </c>
      <c r="K68" s="31">
        <f>J68+I68</f>
        <v>0.23027174650000001</v>
      </c>
      <c r="L68" s="50">
        <f t="shared" si="16"/>
        <v>0.22103174650000001</v>
      </c>
      <c r="M68" s="24">
        <f t="shared" si="17"/>
        <v>2.8485163556837945E-2</v>
      </c>
      <c r="O68" s="37">
        <f>T68*(1+'Test Year Load Forecast'!L17)</f>
        <v>4057446.2779333238</v>
      </c>
      <c r="P68" s="58">
        <f>O68*E68</f>
        <v>871985.77959065058</v>
      </c>
      <c r="Q68" s="218">
        <f t="shared" si="18"/>
        <v>896824.43714152707</v>
      </c>
      <c r="S68" s="218">
        <f t="shared" si="19"/>
        <v>909476.58319875447</v>
      </c>
      <c r="T68" s="135">
        <v>4321283.3838744685</v>
      </c>
    </row>
    <row r="69" spans="1:20" x14ac:dyDescent="0.25">
      <c r="C69" s="52" t="s">
        <v>40</v>
      </c>
      <c r="D69" s="2"/>
      <c r="E69" s="5">
        <v>0.14851</v>
      </c>
      <c r="F69" s="5">
        <v>0.15490000000000001</v>
      </c>
      <c r="G69" s="239">
        <f t="shared" si="13"/>
        <v>6.3900000000000068E-3</v>
      </c>
      <c r="H69" s="5">
        <f t="shared" si="14"/>
        <v>6.9255790000000003E-3</v>
      </c>
      <c r="I69" s="31">
        <f t="shared" si="15"/>
        <v>0.161825579</v>
      </c>
      <c r="J69" s="31">
        <f t="shared" si="20"/>
        <v>-3.9000000000000003E-3</v>
      </c>
      <c r="K69" s="31">
        <f>J69+I69</f>
        <v>0.15792557900000001</v>
      </c>
      <c r="L69" s="50">
        <f t="shared" si="16"/>
        <v>0.151535579</v>
      </c>
      <c r="M69" s="24">
        <f t="shared" si="17"/>
        <v>2.0372897447983318E-2</v>
      </c>
      <c r="O69" s="37">
        <f>T69*(1+'Test Year Load Forecast'!L17)</f>
        <v>7583346.3239520602</v>
      </c>
      <c r="P69" s="58">
        <f>O69*E69</f>
        <v>1126202.7625701204</v>
      </c>
      <c r="Q69" s="218">
        <f t="shared" si="18"/>
        <v>1149146.775957597</v>
      </c>
      <c r="S69" s="218">
        <f t="shared" si="19"/>
        <v>1174660.3455801741</v>
      </c>
      <c r="T69" s="135">
        <v>8076456.5244104704</v>
      </c>
    </row>
    <row r="70" spans="1:20" x14ac:dyDescent="0.25">
      <c r="C70" s="52" t="s">
        <v>36</v>
      </c>
      <c r="D70" s="2"/>
      <c r="E70" s="5">
        <v>31.49</v>
      </c>
      <c r="F70" s="5">
        <f>F67+(F68*100)</f>
        <v>32.844999999999999</v>
      </c>
      <c r="G70" s="239">
        <f t="shared" si="13"/>
        <v>1.3550000000000004</v>
      </c>
      <c r="H70" s="5"/>
      <c r="I70" s="31">
        <f t="shared" si="15"/>
        <v>32.844999999999999</v>
      </c>
      <c r="J70" s="5"/>
      <c r="K70" s="31">
        <f>J70+I70</f>
        <v>32.844999999999999</v>
      </c>
      <c r="L70" s="50">
        <f t="shared" si="16"/>
        <v>31.49</v>
      </c>
      <c r="M70" s="24">
        <f t="shared" si="17"/>
        <v>0</v>
      </c>
      <c r="T70" s="135"/>
    </row>
    <row r="71" spans="1:20" x14ac:dyDescent="0.25">
      <c r="C71" s="52"/>
      <c r="D71" s="2"/>
      <c r="E71" s="5"/>
      <c r="H71" s="5"/>
      <c r="I71" s="31"/>
      <c r="J71" s="5"/>
      <c r="K71" s="31"/>
      <c r="L71" s="31"/>
      <c r="M71" s="24"/>
      <c r="O71" s="135">
        <f>SUM(O68:O69)</f>
        <v>11640792.601885384</v>
      </c>
      <c r="P71" s="37">
        <f>SUM(P67:P70)</f>
        <v>2421420.2934743818</v>
      </c>
      <c r="Q71" s="37">
        <f>SUM(Q67:Q70)</f>
        <v>2488939.331752819</v>
      </c>
      <c r="R71" s="38">
        <f>Q71/P71-1</f>
        <v>2.7884063935698311E-2</v>
      </c>
      <c r="S71" s="37">
        <f>SUM(S67:S70)</f>
        <v>2525567.6453990247</v>
      </c>
      <c r="T71" s="135">
        <f>SUM(T68:T69)</f>
        <v>12397739.90828494</v>
      </c>
    </row>
    <row r="72" spans="1:20" x14ac:dyDescent="0.25">
      <c r="D72" s="2"/>
      <c r="E72" s="51" t="s">
        <v>47</v>
      </c>
      <c r="H72" s="3"/>
      <c r="I72" s="56" t="s">
        <v>47</v>
      </c>
      <c r="J72" s="53"/>
    </row>
    <row r="73" spans="1:20" x14ac:dyDescent="0.25">
      <c r="C73" s="1" t="s">
        <v>48</v>
      </c>
      <c r="D73" s="2"/>
      <c r="E73" s="51" t="s">
        <v>47</v>
      </c>
      <c r="H73" s="3"/>
      <c r="I73" s="56" t="s">
        <v>47</v>
      </c>
      <c r="J73" s="53"/>
    </row>
    <row r="74" spans="1:20" x14ac:dyDescent="0.25">
      <c r="C74" s="46" t="s">
        <v>45</v>
      </c>
      <c r="D74" s="2"/>
      <c r="E74" s="5">
        <v>11.61</v>
      </c>
      <c r="F74" s="5">
        <v>12.11</v>
      </c>
      <c r="G74" s="239">
        <f t="shared" ref="G74:G77" si="21">F74-E74</f>
        <v>0.5</v>
      </c>
      <c r="H74" s="5">
        <f t="shared" ref="H74:H76" si="22">F74*$O$12</f>
        <v>0.54143809999999992</v>
      </c>
      <c r="I74" s="31">
        <f t="shared" ref="I74:I77" si="23">H74+F74</f>
        <v>12.6514381</v>
      </c>
      <c r="J74" s="5"/>
      <c r="K74" s="31">
        <f>J74+I74</f>
        <v>12.6514381</v>
      </c>
      <c r="L74" s="50">
        <f t="shared" ref="L74:L77" si="24">K74-G74</f>
        <v>12.1514381</v>
      </c>
      <c r="M74" s="24">
        <f t="shared" ref="M74:M77" si="25">L74/E74-1</f>
        <v>4.6635495262704607E-2</v>
      </c>
      <c r="O74" s="37">
        <f>T74*(1+'Test Year Load Forecast'!L18)</f>
        <v>24888.06367885428</v>
      </c>
      <c r="P74" s="58">
        <f>O74*E74</f>
        <v>288950.41931149818</v>
      </c>
      <c r="Q74" s="218">
        <f t="shared" ref="Q74:Q76" si="26">O74*L74</f>
        <v>302425.76522245607</v>
      </c>
      <c r="S74" s="218">
        <f t="shared" ref="S74:S76" si="27">F74*O74</f>
        <v>301394.45115092531</v>
      </c>
      <c r="T74" s="37">
        <v>24888.06367885428</v>
      </c>
    </row>
    <row r="75" spans="1:20" x14ac:dyDescent="0.25">
      <c r="C75" s="52" t="s">
        <v>49</v>
      </c>
      <c r="D75" s="2"/>
      <c r="E75" s="5">
        <v>0.17571999999999999</v>
      </c>
      <c r="F75" s="5">
        <v>0.18326999999999999</v>
      </c>
      <c r="G75" s="239">
        <f t="shared" si="21"/>
        <v>7.5500000000000012E-3</v>
      </c>
      <c r="H75" s="5">
        <f t="shared" si="22"/>
        <v>8.1940017E-3</v>
      </c>
      <c r="I75" s="31">
        <f t="shared" si="23"/>
        <v>0.1914640017</v>
      </c>
      <c r="J75" s="31">
        <f t="shared" ref="J75:J76" si="28">$O$33/100</f>
        <v>-3.9000000000000003E-3</v>
      </c>
      <c r="K75" s="31">
        <f>J75+I75</f>
        <v>0.18756400170000001</v>
      </c>
      <c r="L75" s="50">
        <f t="shared" si="24"/>
        <v>0.18001400170000001</v>
      </c>
      <c r="M75" s="24">
        <f t="shared" si="25"/>
        <v>2.4436613362167181E-2</v>
      </c>
      <c r="O75" s="37">
        <f>T75*(1+'Test Year Load Forecast'!L18)</f>
        <v>2488806.367885428</v>
      </c>
      <c r="P75" s="58">
        <f>O75*E75</f>
        <v>437333.05496482737</v>
      </c>
      <c r="Q75" s="218">
        <f t="shared" si="26"/>
        <v>448019.99373949831</v>
      </c>
      <c r="S75" s="218">
        <f t="shared" si="27"/>
        <v>456123.54304236238</v>
      </c>
      <c r="T75" s="135">
        <v>2488806.367885428</v>
      </c>
    </row>
    <row r="76" spans="1:20" x14ac:dyDescent="0.25">
      <c r="C76" s="52" t="s">
        <v>40</v>
      </c>
      <c r="D76" s="2"/>
      <c r="E76" s="5">
        <v>0.12978999999999999</v>
      </c>
      <c r="F76" s="5">
        <v>0.13536999999999999</v>
      </c>
      <c r="G76" s="239">
        <f t="shared" si="21"/>
        <v>5.5800000000000016E-3</v>
      </c>
      <c r="H76" s="5">
        <f t="shared" si="22"/>
        <v>6.0523926999999991E-3</v>
      </c>
      <c r="I76" s="31">
        <f t="shared" si="23"/>
        <v>0.14142239269999998</v>
      </c>
      <c r="J76" s="31">
        <f t="shared" si="28"/>
        <v>-3.9000000000000003E-3</v>
      </c>
      <c r="K76" s="31">
        <f>J76+I76</f>
        <v>0.1375223927</v>
      </c>
      <c r="L76" s="50">
        <f t="shared" si="24"/>
        <v>0.13194239269999999</v>
      </c>
      <c r="M76" s="24">
        <f t="shared" si="25"/>
        <v>1.6583655905693773E-2</v>
      </c>
      <c r="O76" s="37">
        <f>T76*(1+'Test Year Load Forecast'!L18)</f>
        <v>5784001.5196645716</v>
      </c>
      <c r="P76" s="58">
        <f>O76*E76</f>
        <v>750705.5572372647</v>
      </c>
      <c r="Q76" s="218">
        <f t="shared" si="26"/>
        <v>763154.99988497968</v>
      </c>
      <c r="S76" s="218">
        <f t="shared" si="27"/>
        <v>782980.28571699304</v>
      </c>
      <c r="T76" s="135">
        <v>5784001.5196645716</v>
      </c>
    </row>
    <row r="77" spans="1:20" x14ac:dyDescent="0.25">
      <c r="C77" s="52" t="s">
        <v>50</v>
      </c>
      <c r="D77" s="2"/>
      <c r="E77" s="5">
        <f>E74</f>
        <v>11.61</v>
      </c>
      <c r="F77" s="5">
        <f>F74</f>
        <v>12.11</v>
      </c>
      <c r="G77" s="239">
        <f t="shared" si="21"/>
        <v>0.5</v>
      </c>
      <c r="H77" s="5"/>
      <c r="I77" s="31">
        <f t="shared" si="23"/>
        <v>12.11</v>
      </c>
      <c r="J77" s="5"/>
      <c r="K77" s="31">
        <f>J77+I77</f>
        <v>12.11</v>
      </c>
      <c r="L77" s="50">
        <f t="shared" si="24"/>
        <v>11.61</v>
      </c>
      <c r="M77" s="24">
        <f t="shared" si="25"/>
        <v>0</v>
      </c>
    </row>
    <row r="78" spans="1:20" x14ac:dyDescent="0.25">
      <c r="D78" s="2"/>
      <c r="G78" s="5"/>
      <c r="H78" s="5"/>
      <c r="I78" s="5"/>
      <c r="J78" s="5"/>
      <c r="K78" s="5"/>
      <c r="L78" s="5"/>
      <c r="P78" s="37">
        <f>SUM(P74:P77)</f>
        <v>1476989.0315135904</v>
      </c>
      <c r="Q78" s="37">
        <f>SUM(Q74:Q77)</f>
        <v>1513600.758846934</v>
      </c>
      <c r="R78" s="38">
        <f>Q78/P78-1</f>
        <v>2.4788083426607876E-2</v>
      </c>
      <c r="S78" s="37">
        <f>SUM(S74:S77)</f>
        <v>1540498.2799102808</v>
      </c>
    </row>
    <row r="79" spans="1:20" x14ac:dyDescent="0.25">
      <c r="D79" s="2"/>
      <c r="E79" s="3"/>
      <c r="F79" s="3"/>
      <c r="G79" s="57"/>
      <c r="H79" s="53"/>
      <c r="M79" s="53"/>
      <c r="N79" s="36"/>
    </row>
    <row r="80" spans="1:20" x14ac:dyDescent="0.25">
      <c r="A80" s="64" t="s">
        <v>69</v>
      </c>
      <c r="B80" s="34" t="s">
        <v>70</v>
      </c>
      <c r="C80" s="21"/>
      <c r="D80" s="41"/>
      <c r="E80" s="42"/>
      <c r="F80" s="3"/>
      <c r="I80" s="34" t="s">
        <v>216</v>
      </c>
      <c r="M80" s="53"/>
      <c r="N80" s="36"/>
    </row>
    <row r="81" spans="1:18" x14ac:dyDescent="0.25">
      <c r="A81" s="64"/>
      <c r="B81" s="34"/>
      <c r="C81" s="21"/>
      <c r="D81" s="41"/>
      <c r="E81" s="42"/>
      <c r="F81" s="3"/>
      <c r="M81" s="53"/>
      <c r="N81" s="36"/>
    </row>
    <row r="82" spans="1:18" x14ac:dyDescent="0.25">
      <c r="A82" s="64"/>
      <c r="B82" s="34" t="s">
        <v>77</v>
      </c>
      <c r="C82" s="21"/>
      <c r="D82" s="41"/>
      <c r="E82" s="42"/>
      <c r="F82" s="3"/>
      <c r="M82" s="53"/>
      <c r="N82" s="36"/>
    </row>
    <row r="83" spans="1:18" x14ac:dyDescent="0.25">
      <c r="A83" s="64"/>
      <c r="B83" s="34" t="s">
        <v>78</v>
      </c>
      <c r="C83" s="21"/>
      <c r="D83" s="41"/>
      <c r="E83" s="42"/>
      <c r="F83" s="3"/>
      <c r="M83" s="53"/>
      <c r="N83" s="36"/>
    </row>
    <row r="84" spans="1:18" x14ac:dyDescent="0.25">
      <c r="A84" s="64"/>
      <c r="B84" s="34" t="s">
        <v>90</v>
      </c>
      <c r="C84" s="21"/>
      <c r="D84" s="41"/>
      <c r="E84" s="42"/>
      <c r="F84" s="3"/>
      <c r="M84" s="53"/>
      <c r="N84" s="36"/>
    </row>
    <row r="85" spans="1:18" x14ac:dyDescent="0.25">
      <c r="A85" s="64"/>
      <c r="B85" s="34"/>
      <c r="C85" s="21"/>
      <c r="D85" s="41"/>
      <c r="E85" s="42"/>
      <c r="F85" s="3"/>
      <c r="M85" s="53"/>
      <c r="N85" s="36"/>
    </row>
    <row r="86" spans="1:18" x14ac:dyDescent="0.25">
      <c r="B86" t="s">
        <v>71</v>
      </c>
      <c r="C86" s="21"/>
      <c r="D86" s="41"/>
      <c r="E86" s="42"/>
      <c r="F86" s="3"/>
      <c r="M86" s="53"/>
      <c r="N86" s="36"/>
    </row>
    <row r="87" spans="1:18" x14ac:dyDescent="0.25">
      <c r="B87" t="s">
        <v>72</v>
      </c>
      <c r="C87" s="21"/>
      <c r="D87" s="41"/>
      <c r="E87" s="42"/>
      <c r="F87" s="3"/>
      <c r="M87" s="53"/>
      <c r="N87" s="36"/>
    </row>
    <row r="88" spans="1:18" x14ac:dyDescent="0.25">
      <c r="B88" t="s">
        <v>73</v>
      </c>
      <c r="C88" s="21"/>
      <c r="D88" s="41"/>
      <c r="E88" s="42"/>
      <c r="F88" s="3"/>
      <c r="M88" s="53"/>
      <c r="N88" s="36"/>
    </row>
    <row r="89" spans="1:18" x14ac:dyDescent="0.25">
      <c r="B89" t="s">
        <v>74</v>
      </c>
      <c r="C89" s="21"/>
      <c r="D89" s="41"/>
      <c r="E89" s="42"/>
      <c r="F89" s="3"/>
      <c r="M89" s="53"/>
      <c r="N89" s="36"/>
    </row>
    <row r="90" spans="1:18" x14ac:dyDescent="0.25">
      <c r="B90" t="s">
        <v>75</v>
      </c>
      <c r="C90" s="21"/>
      <c r="D90" s="41"/>
      <c r="E90" s="42"/>
      <c r="F90" s="3"/>
      <c r="M90" s="53"/>
      <c r="N90" s="36"/>
    </row>
    <row r="91" spans="1:18" x14ac:dyDescent="0.25">
      <c r="B91" t="s">
        <v>76</v>
      </c>
      <c r="C91" s="21"/>
      <c r="D91" s="41"/>
      <c r="E91" s="42"/>
      <c r="F91" s="3"/>
      <c r="M91" s="53"/>
      <c r="N91" s="36"/>
    </row>
    <row r="92" spans="1:18" x14ac:dyDescent="0.25">
      <c r="C92" s="21"/>
      <c r="D92" s="41"/>
      <c r="E92" s="42"/>
      <c r="F92" s="3"/>
      <c r="M92" s="53"/>
      <c r="N92" s="36"/>
    </row>
    <row r="93" spans="1:18" x14ac:dyDescent="0.25">
      <c r="C93" s="21"/>
      <c r="D93" s="41"/>
      <c r="E93" s="42"/>
      <c r="F93" s="3"/>
      <c r="M93" s="53"/>
      <c r="N93" s="36"/>
    </row>
    <row r="94" spans="1:18" x14ac:dyDescent="0.25">
      <c r="C94" s="21"/>
      <c r="F94" s="25" t="s">
        <v>81</v>
      </c>
      <c r="G94" s="34"/>
      <c r="H94" s="26" t="s">
        <v>82</v>
      </c>
      <c r="I94" s="26" t="s">
        <v>85</v>
      </c>
      <c r="K94" s="42"/>
      <c r="L94" s="26" t="s">
        <v>86</v>
      </c>
      <c r="M94" s="26" t="s">
        <v>87</v>
      </c>
      <c r="N94" s="26" t="s">
        <v>88</v>
      </c>
      <c r="Q94" s="26"/>
      <c r="R94" s="75"/>
    </row>
    <row r="95" spans="1:18" ht="75" x14ac:dyDescent="0.25">
      <c r="F95" s="70" t="s">
        <v>266</v>
      </c>
      <c r="G95" s="72" t="s">
        <v>83</v>
      </c>
      <c r="H95" s="73" t="s">
        <v>84</v>
      </c>
      <c r="I95" s="72" t="s">
        <v>218</v>
      </c>
      <c r="J95" s="71" t="s">
        <v>219</v>
      </c>
      <c r="K95" s="71" t="s">
        <v>220</v>
      </c>
      <c r="L95" s="72" t="s">
        <v>111</v>
      </c>
      <c r="M95" s="72" t="s">
        <v>89</v>
      </c>
      <c r="N95" s="72" t="s">
        <v>221</v>
      </c>
      <c r="O95" s="72" t="s">
        <v>91</v>
      </c>
      <c r="Q95" s="73"/>
      <c r="R95" s="74"/>
    </row>
    <row r="96" spans="1:18" x14ac:dyDescent="0.25">
      <c r="C96" s="1" t="s">
        <v>51</v>
      </c>
      <c r="F96" s="2"/>
      <c r="H96" s="57"/>
      <c r="J96" s="3"/>
      <c r="K96" s="3"/>
      <c r="Q96" s="53"/>
      <c r="R96" s="36"/>
    </row>
    <row r="97" spans="1:18" x14ac:dyDescent="0.25">
      <c r="B97">
        <v>40</v>
      </c>
      <c r="C97" s="46" t="s">
        <v>217</v>
      </c>
      <c r="D97">
        <v>70</v>
      </c>
      <c r="E97" t="s">
        <v>79</v>
      </c>
      <c r="F97" s="49">
        <v>22.25</v>
      </c>
      <c r="G97">
        <f>4000*B97/1000</f>
        <v>160</v>
      </c>
      <c r="H97" s="66">
        <f>G97/12</f>
        <v>13.333333333333334</v>
      </c>
      <c r="I97" s="219">
        <f>F97/H97</f>
        <v>1.66875</v>
      </c>
      <c r="J97" s="65">
        <f>I97*$O$12</f>
        <v>7.4609812499999997E-2</v>
      </c>
      <c r="K97" s="96">
        <f>J97+I97</f>
        <v>1.7433598125000001</v>
      </c>
      <c r="L97" s="93">
        <f>O33/100</f>
        <v>-3.9000000000000003E-3</v>
      </c>
      <c r="M97" s="219">
        <f>L97+K97</f>
        <v>1.7394598125</v>
      </c>
      <c r="N97" s="94">
        <f>M97*H97</f>
        <v>23.192797500000001</v>
      </c>
      <c r="O97" s="24">
        <f>N97/F97-1</f>
        <v>4.2372921348314607E-2</v>
      </c>
      <c r="Q97" s="67"/>
      <c r="R97" s="69"/>
    </row>
    <row r="98" spans="1:18" x14ac:dyDescent="0.25">
      <c r="B98">
        <v>50</v>
      </c>
      <c r="C98" s="46" t="s">
        <v>217</v>
      </c>
      <c r="D98">
        <v>100</v>
      </c>
      <c r="E98" t="s">
        <v>79</v>
      </c>
      <c r="F98" s="49">
        <v>24.41</v>
      </c>
      <c r="G98">
        <f>4000*B98/1000</f>
        <v>200</v>
      </c>
      <c r="H98" s="66">
        <f>G98/12</f>
        <v>16.666666666666668</v>
      </c>
      <c r="I98" s="219">
        <f>F98/H98</f>
        <v>1.4645999999999999</v>
      </c>
      <c r="J98" s="65">
        <f>I98*$O$12</f>
        <v>6.5482265999999997E-2</v>
      </c>
      <c r="K98" s="96">
        <f>J98+I98</f>
        <v>1.530082266</v>
      </c>
      <c r="L98" s="93">
        <f>L97</f>
        <v>-3.9000000000000003E-3</v>
      </c>
      <c r="M98" s="219">
        <f>L98+K98</f>
        <v>1.526182266</v>
      </c>
      <c r="N98" s="94">
        <f>M98*H98</f>
        <v>25.436371100000002</v>
      </c>
      <c r="O98" s="24">
        <f>N98/F98-1</f>
        <v>4.2047156902908833E-2</v>
      </c>
      <c r="Q98" s="67"/>
      <c r="R98" s="69"/>
    </row>
    <row r="99" spans="1:18" x14ac:dyDescent="0.25">
      <c r="B99">
        <v>75</v>
      </c>
      <c r="C99" s="46" t="s">
        <v>217</v>
      </c>
      <c r="D99">
        <v>150</v>
      </c>
      <c r="E99" t="s">
        <v>79</v>
      </c>
      <c r="F99" s="49">
        <v>27.11</v>
      </c>
      <c r="G99">
        <f>4000*B99/1000</f>
        <v>300</v>
      </c>
      <c r="H99" s="66">
        <f>G99/12</f>
        <v>25</v>
      </c>
      <c r="I99" s="219">
        <f>F99/H99</f>
        <v>1.0844</v>
      </c>
      <c r="J99" s="65">
        <f>I99*$O$12</f>
        <v>4.8483524E-2</v>
      </c>
      <c r="K99" s="96">
        <f>J99+I99</f>
        <v>1.1328835239999999</v>
      </c>
      <c r="L99" s="93">
        <f>L98</f>
        <v>-3.9000000000000003E-3</v>
      </c>
      <c r="M99" s="219">
        <f>L99+K99</f>
        <v>1.1289835239999999</v>
      </c>
      <c r="N99" s="94">
        <f>M99*H99</f>
        <v>28.224588099999998</v>
      </c>
      <c r="O99" s="24">
        <f>N99/F99-1</f>
        <v>4.1113541128734665E-2</v>
      </c>
      <c r="Q99" s="67"/>
      <c r="R99" s="69"/>
    </row>
    <row r="100" spans="1:18" x14ac:dyDescent="0.25">
      <c r="B100">
        <v>115</v>
      </c>
      <c r="C100" s="46" t="s">
        <v>217</v>
      </c>
      <c r="D100">
        <v>200</v>
      </c>
      <c r="E100" t="s">
        <v>79</v>
      </c>
      <c r="F100" s="49">
        <v>30.74</v>
      </c>
      <c r="G100">
        <f>4000*B100/1000</f>
        <v>460</v>
      </c>
      <c r="H100" s="66">
        <f>G100/12</f>
        <v>38.333333333333336</v>
      </c>
      <c r="I100" s="219">
        <f>F100/H100</f>
        <v>0.80191304347826076</v>
      </c>
      <c r="J100" s="65">
        <f>I100*$O$12</f>
        <v>3.5853532173913037E-2</v>
      </c>
      <c r="K100" s="96">
        <f>J100+I100</f>
        <v>0.83776657565217383</v>
      </c>
      <c r="L100" s="93">
        <f>L99</f>
        <v>-3.9000000000000003E-3</v>
      </c>
      <c r="M100" s="219">
        <f>L100+K100</f>
        <v>0.83386657565217381</v>
      </c>
      <c r="N100" s="94">
        <f>M100*H100</f>
        <v>31.964885399999996</v>
      </c>
      <c r="O100" s="24">
        <f>N100/F100-1</f>
        <v>3.984662979830822E-2</v>
      </c>
      <c r="Q100" s="67"/>
      <c r="R100" s="69"/>
    </row>
    <row r="101" spans="1:18" x14ac:dyDescent="0.25">
      <c r="C101" s="46"/>
      <c r="E101" s="49"/>
      <c r="F101" s="65"/>
      <c r="G101" s="65"/>
      <c r="I101" s="66"/>
      <c r="J101" s="76"/>
      <c r="K101" s="77"/>
      <c r="L101" s="77"/>
      <c r="M101" s="32"/>
      <c r="N101" s="67"/>
      <c r="O101" s="69"/>
    </row>
    <row r="102" spans="1:18" x14ac:dyDescent="0.25">
      <c r="D102" s="2"/>
      <c r="E102" s="45"/>
      <c r="F102" s="3"/>
      <c r="N102" s="120"/>
    </row>
    <row r="103" spans="1:18" x14ac:dyDescent="0.25">
      <c r="N103" s="69"/>
    </row>
    <row r="104" spans="1:18" x14ac:dyDescent="0.25">
      <c r="A104" s="64" t="s">
        <v>93</v>
      </c>
      <c r="B104" s="34" t="s">
        <v>94</v>
      </c>
    </row>
    <row r="105" spans="1:18" ht="30" x14ac:dyDescent="0.25">
      <c r="H105" s="112" t="s">
        <v>116</v>
      </c>
      <c r="I105" s="113" t="s">
        <v>117</v>
      </c>
      <c r="J105" s="109"/>
      <c r="K105" s="113" t="s">
        <v>118</v>
      </c>
      <c r="L105" s="113"/>
      <c r="M105" s="113" t="s">
        <v>7</v>
      </c>
    </row>
    <row r="106" spans="1:18" x14ac:dyDescent="0.25">
      <c r="B106" t="s">
        <v>95</v>
      </c>
      <c r="H106" s="114">
        <f>I53</f>
        <v>0.1898551483</v>
      </c>
      <c r="I106" s="109">
        <v>2</v>
      </c>
      <c r="J106" s="114">
        <f>H106*I106</f>
        <v>0.3797102966</v>
      </c>
      <c r="K106" s="115">
        <f>J53</f>
        <v>-3.9000000000000003E-3</v>
      </c>
      <c r="L106" s="115"/>
      <c r="M106" s="114">
        <f>K106+J106</f>
        <v>0.37581029659999998</v>
      </c>
    </row>
    <row r="107" spans="1:18" x14ac:dyDescent="0.25">
      <c r="B107" t="s">
        <v>96</v>
      </c>
      <c r="H107" s="114">
        <f>I53</f>
        <v>0.1898551483</v>
      </c>
      <c r="I107" s="109">
        <v>1</v>
      </c>
      <c r="J107" s="114">
        <f>H106</f>
        <v>0.1898551483</v>
      </c>
      <c r="K107" s="115">
        <f>J53</f>
        <v>-3.9000000000000003E-3</v>
      </c>
      <c r="L107" s="115"/>
      <c r="M107" s="114">
        <f>K107+J107</f>
        <v>0.18595514830000001</v>
      </c>
    </row>
    <row r="108" spans="1:18" x14ac:dyDescent="0.25">
      <c r="B108" t="s">
        <v>97</v>
      </c>
    </row>
    <row r="110" spans="1:18" x14ac:dyDescent="0.25">
      <c r="B110" s="109" t="s">
        <v>119</v>
      </c>
      <c r="C110" s="109"/>
      <c r="D110" s="109"/>
      <c r="E110" s="109"/>
      <c r="F110" s="109"/>
      <c r="G110" s="109"/>
    </row>
    <row r="111" spans="1:18" x14ac:dyDescent="0.25">
      <c r="B111" s="109" t="s">
        <v>120</v>
      </c>
      <c r="C111" s="109"/>
      <c r="D111" s="109"/>
      <c r="E111" s="109"/>
      <c r="F111" s="109"/>
      <c r="G111" s="110">
        <f>G115+G116</f>
        <v>0.11783200000000001</v>
      </c>
    </row>
    <row r="112" spans="1:18" x14ac:dyDescent="0.25">
      <c r="B112" s="109"/>
      <c r="C112" s="109"/>
      <c r="D112" s="109"/>
      <c r="E112" s="109"/>
      <c r="F112" s="109"/>
      <c r="G112" s="109"/>
    </row>
    <row r="113" spans="2:9" x14ac:dyDescent="0.25">
      <c r="B113" s="109" t="s">
        <v>98</v>
      </c>
      <c r="C113" s="109"/>
      <c r="D113" s="109"/>
      <c r="E113" s="109"/>
      <c r="F113" s="109"/>
      <c r="G113" s="109">
        <f>'Data and Sources'!I128</f>
        <v>0.11705</v>
      </c>
    </row>
    <row r="114" spans="2:9" x14ac:dyDescent="0.25">
      <c r="B114" s="109" t="s">
        <v>100</v>
      </c>
      <c r="C114" s="109"/>
      <c r="D114" s="109"/>
      <c r="E114" s="109"/>
      <c r="F114" s="109"/>
      <c r="G114" s="111">
        <f>4%+100%</f>
        <v>1.04</v>
      </c>
    </row>
    <row r="115" spans="2:9" x14ac:dyDescent="0.25">
      <c r="B115" s="109" t="s">
        <v>121</v>
      </c>
      <c r="C115" s="109"/>
      <c r="D115" s="109"/>
      <c r="E115" s="109"/>
      <c r="F115" s="109"/>
      <c r="G115" s="110">
        <f>G114*G113</f>
        <v>0.12173200000000001</v>
      </c>
    </row>
    <row r="116" spans="2:9" x14ac:dyDescent="0.25">
      <c r="B116" s="109" t="s">
        <v>99</v>
      </c>
      <c r="C116" s="109"/>
      <c r="D116" s="109"/>
      <c r="E116" s="109"/>
      <c r="F116" s="109"/>
      <c r="G116" s="110">
        <f>O33/100</f>
        <v>-3.9000000000000003E-3</v>
      </c>
    </row>
    <row r="118" spans="2:9" x14ac:dyDescent="0.25">
      <c r="D118" s="2"/>
      <c r="E118" s="3"/>
      <c r="F118" s="3"/>
      <c r="G118" s="3"/>
    </row>
    <row r="119" spans="2:9" ht="45" x14ac:dyDescent="0.25">
      <c r="D119" s="2"/>
      <c r="E119" s="43" t="s">
        <v>208</v>
      </c>
      <c r="F119" s="44" t="s">
        <v>267</v>
      </c>
      <c r="G119" s="63" t="s">
        <v>67</v>
      </c>
      <c r="H119" s="63"/>
      <c r="I119" s="63"/>
    </row>
    <row r="120" spans="2:9" x14ac:dyDescent="0.25">
      <c r="C120" s="1" t="s">
        <v>24</v>
      </c>
      <c r="D120" s="2"/>
      <c r="E120" s="3"/>
      <c r="F120" s="3"/>
      <c r="G120" s="45"/>
    </row>
    <row r="121" spans="2:9" x14ac:dyDescent="0.25">
      <c r="C121" s="46" t="s">
        <v>25</v>
      </c>
      <c r="D121" s="2"/>
      <c r="E121" s="47">
        <v>28.51</v>
      </c>
      <c r="F121" s="47">
        <f>E121</f>
        <v>28.51</v>
      </c>
      <c r="G121" s="68">
        <f>F121/E121-1</f>
        <v>0</v>
      </c>
      <c r="H121" s="48"/>
    </row>
    <row r="122" spans="2:9" x14ac:dyDescent="0.25">
      <c r="C122" s="46" t="s">
        <v>26</v>
      </c>
      <c r="D122" s="2"/>
      <c r="E122" s="51"/>
      <c r="F122" s="3"/>
      <c r="G122" s="80"/>
      <c r="H122" s="48"/>
    </row>
    <row r="123" spans="2:9" x14ac:dyDescent="0.25">
      <c r="C123" s="46" t="s">
        <v>27</v>
      </c>
      <c r="D123" s="2"/>
      <c r="E123" s="51"/>
      <c r="F123" s="3"/>
      <c r="G123" s="80"/>
    </row>
    <row r="124" spans="2:9" x14ac:dyDescent="0.25">
      <c r="C124" s="52" t="s">
        <v>28</v>
      </c>
      <c r="D124" s="2"/>
      <c r="E124" s="220">
        <v>0.36346000000000001</v>
      </c>
      <c r="F124" s="51">
        <f>M106</f>
        <v>0.37581029659999998</v>
      </c>
      <c r="G124" s="69">
        <f t="shared" ref="G124:G133" si="29">F124/E124-1</f>
        <v>3.397979585098776E-2</v>
      </c>
      <c r="H124" s="53"/>
    </row>
    <row r="125" spans="2:9" x14ac:dyDescent="0.25">
      <c r="C125" s="52" t="s">
        <v>29</v>
      </c>
      <c r="D125" s="2"/>
      <c r="E125" s="51">
        <v>0.18173</v>
      </c>
      <c r="F125" s="51">
        <f>M107</f>
        <v>0.18595514830000001</v>
      </c>
      <c r="G125" s="69">
        <f t="shared" si="29"/>
        <v>2.3249591701975492E-2</v>
      </c>
      <c r="H125" s="53"/>
    </row>
    <row r="126" spans="2:9" x14ac:dyDescent="0.25">
      <c r="C126" s="52" t="s">
        <v>30</v>
      </c>
      <c r="D126" s="2"/>
      <c r="E126" s="220">
        <f>E124</f>
        <v>0.36346000000000001</v>
      </c>
      <c r="F126" s="51">
        <f>F124</f>
        <v>0.37581029659999998</v>
      </c>
      <c r="G126" s="69">
        <f t="shared" si="29"/>
        <v>3.397979585098776E-2</v>
      </c>
      <c r="H126" s="53"/>
    </row>
    <row r="127" spans="2:9" x14ac:dyDescent="0.25">
      <c r="C127" s="52" t="s">
        <v>31</v>
      </c>
      <c r="D127" s="2"/>
      <c r="E127" s="51">
        <v>0.11441</v>
      </c>
      <c r="F127" s="51">
        <f>G111</f>
        <v>0.11783200000000001</v>
      </c>
      <c r="G127" s="69">
        <f t="shared" si="29"/>
        <v>2.9909972904466509E-2</v>
      </c>
      <c r="H127" s="53"/>
    </row>
    <row r="128" spans="2:9" x14ac:dyDescent="0.25">
      <c r="C128" s="52" t="s">
        <v>32</v>
      </c>
      <c r="D128" s="2"/>
      <c r="E128" s="51">
        <f>E127</f>
        <v>0.11441</v>
      </c>
      <c r="F128" s="51">
        <f>F127</f>
        <v>0.11783200000000001</v>
      </c>
      <c r="G128" s="69">
        <f t="shared" si="29"/>
        <v>2.9909972904466509E-2</v>
      </c>
      <c r="H128" s="53"/>
    </row>
    <row r="129" spans="3:8" x14ac:dyDescent="0.25">
      <c r="C129" s="46" t="s">
        <v>33</v>
      </c>
      <c r="D129" s="2"/>
      <c r="E129" s="51"/>
      <c r="F129" s="51"/>
      <c r="G129" s="69"/>
      <c r="H129" s="53"/>
    </row>
    <row r="130" spans="3:8" x14ac:dyDescent="0.25">
      <c r="C130" s="52" t="s">
        <v>34</v>
      </c>
      <c r="D130" s="2"/>
      <c r="E130" s="51">
        <f>E125</f>
        <v>0.18173</v>
      </c>
      <c r="F130" s="51">
        <f>F125</f>
        <v>0.18595514830000001</v>
      </c>
      <c r="G130" s="69">
        <f t="shared" si="29"/>
        <v>2.3249591701975492E-2</v>
      </c>
      <c r="H130" s="53"/>
    </row>
    <row r="131" spans="3:8" x14ac:dyDescent="0.25">
      <c r="C131" s="52" t="s">
        <v>35</v>
      </c>
      <c r="D131" s="2"/>
      <c r="E131" s="51">
        <f>E128</f>
        <v>0.11441</v>
      </c>
      <c r="F131" s="51">
        <f>F127</f>
        <v>0.11783200000000001</v>
      </c>
      <c r="G131" s="69">
        <f t="shared" si="29"/>
        <v>2.9909972904466509E-2</v>
      </c>
      <c r="H131" s="53"/>
    </row>
    <row r="132" spans="3:8" x14ac:dyDescent="0.25">
      <c r="C132" s="52" t="s">
        <v>32</v>
      </c>
      <c r="D132" s="2"/>
      <c r="E132" s="51">
        <f>E131</f>
        <v>0.11441</v>
      </c>
      <c r="F132" s="51">
        <f>F128</f>
        <v>0.11783200000000001</v>
      </c>
      <c r="G132" s="69">
        <f t="shared" si="29"/>
        <v>2.9909972904466509E-2</v>
      </c>
      <c r="H132" s="53"/>
    </row>
    <row r="133" spans="3:8" x14ac:dyDescent="0.25">
      <c r="C133" s="46" t="s">
        <v>36</v>
      </c>
      <c r="D133" s="2"/>
      <c r="E133" s="51">
        <f>E121</f>
        <v>28.51</v>
      </c>
      <c r="F133" s="51">
        <f>E133</f>
        <v>28.51</v>
      </c>
      <c r="G133" s="69">
        <f t="shared" si="29"/>
        <v>0</v>
      </c>
      <c r="H133" s="53"/>
    </row>
  </sheetData>
  <mergeCells count="3">
    <mergeCell ref="V49:W49"/>
    <mergeCell ref="I3:M3"/>
    <mergeCell ref="P36:S36"/>
  </mergeCells>
  <pageMargins left="0.7" right="0.7" top="0.75" bottom="0.75" header="0.3" footer="0.3"/>
  <pageSetup scale="78" orientation="landscape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95614-F5DB-4614-AAC7-DD54E227C448}">
  <sheetPr>
    <tabColor rgb="FF92D050"/>
  </sheetPr>
  <dimension ref="A3:L40"/>
  <sheetViews>
    <sheetView topLeftCell="A21" zoomScale="106" zoomScaleNormal="106" workbookViewId="0">
      <selection activeCell="N17" sqref="N17"/>
    </sheetView>
  </sheetViews>
  <sheetFormatPr defaultRowHeight="15" x14ac:dyDescent="0.25"/>
  <cols>
    <col min="2" max="2" width="24.5703125" customWidth="1"/>
    <col min="3" max="3" width="18.140625" customWidth="1"/>
    <col min="5" max="5" width="15.28515625" customWidth="1"/>
    <col min="7" max="7" width="3.85546875" customWidth="1"/>
    <col min="8" max="8" width="12.7109375" customWidth="1"/>
    <col min="10" max="10" width="4.5703125" customWidth="1"/>
    <col min="11" max="11" width="14.140625" customWidth="1"/>
    <col min="12" max="12" width="10.42578125" customWidth="1"/>
  </cols>
  <sheetData>
    <row r="3" spans="1:12" x14ac:dyDescent="0.25">
      <c r="L3" s="124" t="s">
        <v>122</v>
      </c>
    </row>
    <row r="4" spans="1:12" x14ac:dyDescent="0.25">
      <c r="A4" s="244" t="s">
        <v>123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</row>
    <row r="5" spans="1:12" x14ac:dyDescent="0.25">
      <c r="A5" s="125"/>
      <c r="B5" s="125"/>
      <c r="C5" s="125"/>
      <c r="D5" s="125"/>
      <c r="E5" s="125"/>
      <c r="F5" s="125" t="s">
        <v>124</v>
      </c>
      <c r="G5" s="125"/>
      <c r="H5" s="125"/>
      <c r="I5" s="125"/>
      <c r="J5" s="125"/>
      <c r="K5" s="125"/>
      <c r="L5" s="125"/>
    </row>
    <row r="6" spans="1:12" x14ac:dyDescent="0.25">
      <c r="A6" s="244" t="s">
        <v>142</v>
      </c>
      <c r="B6" s="244"/>
      <c r="C6" s="244"/>
      <c r="D6" s="244"/>
      <c r="E6" s="244"/>
      <c r="F6" s="244"/>
      <c r="G6" s="244"/>
      <c r="H6" s="244"/>
      <c r="I6" s="244"/>
      <c r="J6" s="244"/>
      <c r="K6" s="244"/>
      <c r="L6" s="244"/>
    </row>
    <row r="7" spans="1:12" x14ac:dyDescent="0.25"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</row>
    <row r="9" spans="1:12" ht="15.75" x14ac:dyDescent="0.25">
      <c r="B9" s="141" t="s">
        <v>125</v>
      </c>
      <c r="C9" s="125" t="s">
        <v>4</v>
      </c>
      <c r="E9" s="125" t="s">
        <v>4</v>
      </c>
      <c r="H9" s="127" t="s">
        <v>126</v>
      </c>
      <c r="I9" s="127"/>
      <c r="J9" s="127"/>
      <c r="K9" s="127" t="s">
        <v>127</v>
      </c>
      <c r="L9" s="127"/>
    </row>
    <row r="10" spans="1:12" x14ac:dyDescent="0.25">
      <c r="C10" s="128" t="s">
        <v>128</v>
      </c>
      <c r="E10" s="128" t="s">
        <v>129</v>
      </c>
      <c r="F10" s="9" t="s">
        <v>130</v>
      </c>
      <c r="G10" s="9"/>
      <c r="H10" s="128" t="s">
        <v>131</v>
      </c>
      <c r="I10" s="9" t="s">
        <v>130</v>
      </c>
      <c r="J10" s="7"/>
      <c r="K10" s="128" t="s">
        <v>132</v>
      </c>
      <c r="L10" s="9" t="s">
        <v>130</v>
      </c>
    </row>
    <row r="11" spans="1:12" x14ac:dyDescent="0.25">
      <c r="B11" t="s">
        <v>133</v>
      </c>
      <c r="C11" s="129">
        <v>1817.6666666666667</v>
      </c>
      <c r="E11" s="129">
        <v>1860.1666666666667</v>
      </c>
      <c r="F11" s="130">
        <v>2.3381624793691547E-2</v>
      </c>
      <c r="G11" s="130"/>
      <c r="H11" s="129">
        <v>1878.44023585735</v>
      </c>
      <c r="I11" s="130">
        <v>9.8236193122569482E-3</v>
      </c>
      <c r="J11" s="130"/>
      <c r="K11" s="129">
        <v>1896.8933176352386</v>
      </c>
      <c r="L11" s="130">
        <v>9.8236193122569482E-3</v>
      </c>
    </row>
    <row r="12" spans="1:12" x14ac:dyDescent="0.25">
      <c r="B12" t="s">
        <v>134</v>
      </c>
      <c r="C12" s="129">
        <v>20</v>
      </c>
      <c r="E12" s="129">
        <v>21</v>
      </c>
      <c r="F12" s="130">
        <v>5.0000000000000044E-2</v>
      </c>
      <c r="G12" s="130"/>
      <c r="H12" s="129">
        <v>21.700580996534431</v>
      </c>
      <c r="I12" s="130">
        <v>3.3360999834972871E-2</v>
      </c>
      <c r="J12" s="130"/>
      <c r="K12" s="129">
        <v>22.424534075578631</v>
      </c>
      <c r="L12" s="130">
        <v>3.3360999834972871E-2</v>
      </c>
    </row>
    <row r="13" spans="1:12" x14ac:dyDescent="0.25">
      <c r="B13" t="s">
        <v>135</v>
      </c>
      <c r="C13" s="129">
        <v>224</v>
      </c>
      <c r="E13" s="129">
        <v>221.75</v>
      </c>
      <c r="F13" s="130">
        <v>-1.0044642857142905E-2</v>
      </c>
      <c r="G13" s="130"/>
      <c r="H13" s="129">
        <v>222.16784472706141</v>
      </c>
      <c r="I13" s="130">
        <v>1.8843054207955401E-3</v>
      </c>
      <c r="J13" s="130"/>
      <c r="K13" s="129">
        <v>222.58647680120708</v>
      </c>
      <c r="L13" s="130">
        <v>1.8843054207955401E-3</v>
      </c>
    </row>
    <row r="14" spans="1:12" x14ac:dyDescent="0.25">
      <c r="B14" t="s">
        <v>136</v>
      </c>
      <c r="C14" s="129">
        <v>189.25</v>
      </c>
      <c r="E14" s="129">
        <v>189.25</v>
      </c>
      <c r="F14" s="130">
        <v>0</v>
      </c>
      <c r="G14" s="130"/>
      <c r="H14" s="129">
        <v>191.57138317006115</v>
      </c>
      <c r="I14" s="130">
        <v>1.2266225469279579E-2</v>
      </c>
      <c r="J14" s="130"/>
      <c r="K14" s="129">
        <v>193.92124094948687</v>
      </c>
      <c r="L14" s="130">
        <v>1.2266225469279579E-2</v>
      </c>
    </row>
    <row r="15" spans="1:12" x14ac:dyDescent="0.25">
      <c r="B15" t="s">
        <v>137</v>
      </c>
      <c r="C15" s="129">
        <v>3</v>
      </c>
      <c r="E15" s="129">
        <v>3</v>
      </c>
      <c r="F15" s="130">
        <v>0</v>
      </c>
      <c r="G15" s="130"/>
      <c r="H15" s="129">
        <v>3</v>
      </c>
      <c r="I15" s="130">
        <v>0</v>
      </c>
      <c r="J15" s="130"/>
      <c r="K15" s="129">
        <v>3</v>
      </c>
      <c r="L15" s="130">
        <v>0</v>
      </c>
    </row>
    <row r="16" spans="1:12" x14ac:dyDescent="0.25">
      <c r="B16" t="s">
        <v>138</v>
      </c>
      <c r="C16" s="129">
        <v>661</v>
      </c>
      <c r="E16" s="129">
        <v>661</v>
      </c>
      <c r="F16" s="130">
        <v>0</v>
      </c>
      <c r="G16" s="130"/>
      <c r="H16" s="129">
        <v>661</v>
      </c>
      <c r="I16" s="130">
        <v>0</v>
      </c>
      <c r="J16" s="130"/>
      <c r="K16" s="129">
        <v>661</v>
      </c>
      <c r="L16" s="130">
        <v>0</v>
      </c>
    </row>
    <row r="17" spans="2:12" x14ac:dyDescent="0.25">
      <c r="B17" s="126" t="s">
        <v>139</v>
      </c>
      <c r="C17" s="131">
        <v>2914.916666666667</v>
      </c>
      <c r="E17" s="131">
        <v>2956.166666666667</v>
      </c>
      <c r="F17" s="132">
        <v>1.4151347951628201E-2</v>
      </c>
      <c r="G17" s="132"/>
      <c r="H17" s="131">
        <v>2977.8800447510066</v>
      </c>
      <c r="I17" s="132">
        <v>7.3451129563082418E-3</v>
      </c>
      <c r="J17" s="133"/>
      <c r="K17" s="131">
        <v>2999.8255694615109</v>
      </c>
      <c r="L17" s="132">
        <v>7.3695126669681699E-3</v>
      </c>
    </row>
    <row r="18" spans="2:12" x14ac:dyDescent="0.25">
      <c r="C18" s="134"/>
      <c r="E18" s="134"/>
      <c r="H18" s="134"/>
      <c r="I18" s="134"/>
      <c r="J18" s="134"/>
      <c r="K18" s="134"/>
      <c r="L18" s="134"/>
    </row>
    <row r="19" spans="2:12" x14ac:dyDescent="0.25">
      <c r="C19" s="135"/>
      <c r="E19" s="135"/>
      <c r="H19" s="135"/>
      <c r="I19" s="135"/>
      <c r="J19" s="135"/>
      <c r="K19" s="135"/>
      <c r="L19" s="135"/>
    </row>
    <row r="20" spans="2:12" x14ac:dyDescent="0.25">
      <c r="B20" s="126" t="s">
        <v>140</v>
      </c>
      <c r="C20" s="125" t="s">
        <v>4</v>
      </c>
      <c r="D20" s="125"/>
      <c r="E20" s="244" t="s">
        <v>4</v>
      </c>
      <c r="F20" s="244"/>
      <c r="G20" s="125"/>
      <c r="H20" s="125" t="s">
        <v>126</v>
      </c>
      <c r="I20" s="125"/>
      <c r="J20" s="125"/>
      <c r="K20" s="125" t="s">
        <v>127</v>
      </c>
      <c r="L20" s="125"/>
    </row>
    <row r="21" spans="2:12" x14ac:dyDescent="0.25">
      <c r="C21" s="125" t="s">
        <v>128</v>
      </c>
      <c r="D21" s="125"/>
      <c r="E21" s="125" t="s">
        <v>129</v>
      </c>
      <c r="F21" s="125" t="s">
        <v>130</v>
      </c>
      <c r="G21" s="125"/>
      <c r="H21" s="125" t="s">
        <v>131</v>
      </c>
      <c r="I21" s="125" t="s">
        <v>130</v>
      </c>
      <c r="J21" s="125"/>
      <c r="K21" s="125" t="s">
        <v>132</v>
      </c>
      <c r="L21" s="125" t="s">
        <v>130</v>
      </c>
    </row>
    <row r="22" spans="2:12" x14ac:dyDescent="0.25">
      <c r="B22" t="s">
        <v>133</v>
      </c>
      <c r="C22" s="81">
        <v>17173188</v>
      </c>
      <c r="E22" s="81">
        <v>18610334</v>
      </c>
      <c r="F22" s="136">
        <v>8.3685451996449389E-2</v>
      </c>
      <c r="G22" s="136"/>
      <c r="H22" s="81">
        <v>18698234.674625635</v>
      </c>
      <c r="I22" s="136">
        <v>4.7232185422161344E-3</v>
      </c>
      <c r="J22" s="136"/>
      <c r="K22" s="81">
        <v>19041641.94698938</v>
      </c>
      <c r="L22" s="136">
        <v>1.8365759032309192E-2</v>
      </c>
    </row>
    <row r="23" spans="2:12" x14ac:dyDescent="0.25">
      <c r="B23" t="s">
        <v>134</v>
      </c>
      <c r="C23" s="81">
        <v>374390</v>
      </c>
      <c r="E23" s="81">
        <v>417482</v>
      </c>
      <c r="F23" s="136">
        <v>0.11509922807767303</v>
      </c>
      <c r="G23" s="136"/>
      <c r="H23" s="81">
        <v>445125.43989584077</v>
      </c>
      <c r="I23" s="136">
        <v>6.621468685078824E-2</v>
      </c>
      <c r="J23" s="136"/>
      <c r="K23" s="81">
        <v>462512.05130367348</v>
      </c>
      <c r="L23" s="136">
        <v>3.906002634201533E-2</v>
      </c>
    </row>
    <row r="24" spans="2:12" x14ac:dyDescent="0.25">
      <c r="B24" t="s">
        <v>135</v>
      </c>
      <c r="C24" s="81">
        <v>1008223</v>
      </c>
      <c r="E24" s="81">
        <v>927310</v>
      </c>
      <c r="F24" s="136">
        <v>-8.0253078931942667E-2</v>
      </c>
      <c r="G24" s="136"/>
      <c r="H24" s="81">
        <v>969370.504082461</v>
      </c>
      <c r="I24" s="136">
        <v>4.5357543952357915E-2</v>
      </c>
      <c r="J24" s="136"/>
      <c r="K24" s="81">
        <v>961429.52600797324</v>
      </c>
      <c r="L24" s="136">
        <v>-8.1918915843268714E-3</v>
      </c>
    </row>
    <row r="25" spans="2:12" x14ac:dyDescent="0.25">
      <c r="B25" t="s">
        <v>136</v>
      </c>
      <c r="C25" s="81">
        <v>11922756</v>
      </c>
      <c r="E25" s="81">
        <v>12181717</v>
      </c>
      <c r="F25" s="136">
        <v>2.1719894292896669E-2</v>
      </c>
      <c r="G25" s="136"/>
      <c r="H25" s="81">
        <v>12247509.199012773</v>
      </c>
      <c r="I25" s="136">
        <v>5.4008970174543869E-3</v>
      </c>
      <c r="J25" s="136"/>
      <c r="K25" s="81">
        <v>12397739.908284938</v>
      </c>
      <c r="L25" s="136">
        <v>1.2266225469279357E-2</v>
      </c>
    </row>
    <row r="26" spans="2:12" x14ac:dyDescent="0.25">
      <c r="B26" t="s">
        <v>137</v>
      </c>
      <c r="C26" s="81">
        <v>8448320</v>
      </c>
      <c r="E26" s="81">
        <v>8086119</v>
      </c>
      <c r="F26" s="136">
        <v>-4.2872547441384801E-2</v>
      </c>
      <c r="G26" s="136"/>
      <c r="H26" s="81">
        <v>8179860.085</v>
      </c>
      <c r="I26" s="136">
        <v>1.1592840149891481E-2</v>
      </c>
      <c r="J26" s="136"/>
      <c r="K26" s="81">
        <v>8272807.8875500001</v>
      </c>
      <c r="L26" s="136">
        <v>1.1363006406484244E-2</v>
      </c>
    </row>
    <row r="27" spans="2:12" x14ac:dyDescent="0.25">
      <c r="B27" t="s">
        <v>138</v>
      </c>
      <c r="C27" s="81">
        <v>155225.72908366536</v>
      </c>
      <c r="E27" s="81">
        <v>155225.72908366536</v>
      </c>
      <c r="F27" s="136">
        <v>0</v>
      </c>
      <c r="G27" s="136"/>
      <c r="H27" s="81">
        <v>155225.72908366536</v>
      </c>
      <c r="I27" s="136">
        <v>0</v>
      </c>
      <c r="J27" s="136"/>
      <c r="K27" s="81">
        <v>155225.72908366536</v>
      </c>
      <c r="L27" s="136">
        <v>0</v>
      </c>
    </row>
    <row r="28" spans="2:12" x14ac:dyDescent="0.25">
      <c r="B28" s="126" t="s">
        <v>139</v>
      </c>
      <c r="C28" s="137">
        <v>39082102.729083665</v>
      </c>
      <c r="D28" s="126"/>
      <c r="E28" s="137">
        <v>40378187.729083665</v>
      </c>
      <c r="F28" s="138">
        <v>3.3163133749082974E-2</v>
      </c>
      <c r="G28" s="138"/>
      <c r="H28" s="137">
        <v>40695325.631700374</v>
      </c>
      <c r="I28" s="138">
        <v>7.8541886214542611E-3</v>
      </c>
      <c r="J28" s="138"/>
      <c r="K28" s="137">
        <v>41291357.049219631</v>
      </c>
      <c r="L28" s="138">
        <v>1.4646188678115957E-2</v>
      </c>
    </row>
    <row r="29" spans="2:12" x14ac:dyDescent="0.25">
      <c r="K29" s="134"/>
      <c r="L29" s="134"/>
    </row>
    <row r="30" spans="2:12" x14ac:dyDescent="0.25">
      <c r="C30" s="135"/>
      <c r="E30" s="135"/>
      <c r="H30" s="135"/>
      <c r="I30" s="135"/>
      <c r="J30" s="135"/>
      <c r="K30" s="139"/>
      <c r="L30" s="135"/>
    </row>
    <row r="31" spans="2:12" ht="26.25" x14ac:dyDescent="0.25">
      <c r="B31" s="142" t="s">
        <v>141</v>
      </c>
      <c r="C31" s="125" t="s">
        <v>4</v>
      </c>
      <c r="D31" s="125"/>
      <c r="E31" s="125" t="s">
        <v>4</v>
      </c>
      <c r="K31" s="125" t="s">
        <v>127</v>
      </c>
    </row>
    <row r="32" spans="2:12" x14ac:dyDescent="0.25">
      <c r="C32" s="125" t="s">
        <v>128</v>
      </c>
      <c r="D32" s="125"/>
      <c r="E32" s="125" t="s">
        <v>129</v>
      </c>
      <c r="K32" s="125" t="s">
        <v>132</v>
      </c>
    </row>
    <row r="33" spans="2:12" x14ac:dyDescent="0.25">
      <c r="B33" t="s">
        <v>133</v>
      </c>
      <c r="C33" s="81">
        <v>3103.0489469798822</v>
      </c>
      <c r="E33" s="81">
        <v>3653.5179736066862</v>
      </c>
      <c r="I33" s="136"/>
      <c r="J33" s="136"/>
      <c r="K33" s="81">
        <v>3736.1437880548915</v>
      </c>
      <c r="L33" s="136"/>
    </row>
    <row r="34" spans="2:12" x14ac:dyDescent="0.25">
      <c r="B34" t="s">
        <v>134</v>
      </c>
      <c r="C34" s="81">
        <v>34.143212326937999</v>
      </c>
      <c r="E34" s="81">
        <v>41.245700624894042</v>
      </c>
      <c r="I34" s="136"/>
      <c r="J34" s="136"/>
      <c r="K34" s="81">
        <v>42.17848914030251</v>
      </c>
      <c r="L34" s="136"/>
    </row>
    <row r="35" spans="2:12" x14ac:dyDescent="0.25">
      <c r="B35" t="s">
        <v>135</v>
      </c>
      <c r="C35" s="81">
        <v>301.81482173412854</v>
      </c>
      <c r="E35" s="81">
        <v>277.59325302266933</v>
      </c>
      <c r="I35" s="136"/>
      <c r="J35" s="136"/>
      <c r="K35" s="81">
        <v>283.87113882534476</v>
      </c>
      <c r="L35" s="136"/>
    </row>
    <row r="36" spans="2:12" x14ac:dyDescent="0.25">
      <c r="B36" t="s">
        <v>136</v>
      </c>
      <c r="C36" s="81">
        <v>2902.9948000000004</v>
      </c>
      <c r="E36" s="81">
        <v>3020.62</v>
      </c>
      <c r="I36" s="136"/>
      <c r="J36" s="136"/>
      <c r="K36" s="81">
        <v>3088.9325659820297</v>
      </c>
      <c r="L36" s="136"/>
    </row>
    <row r="37" spans="2:12" x14ac:dyDescent="0.25">
      <c r="B37" t="s">
        <v>137</v>
      </c>
      <c r="C37" s="81">
        <v>2081.0129999999999</v>
      </c>
      <c r="E37" s="81">
        <v>1908.9107633428366</v>
      </c>
      <c r="K37" s="81">
        <v>1952.0815668449866</v>
      </c>
    </row>
    <row r="38" spans="2:12" x14ac:dyDescent="0.25">
      <c r="B38" t="s">
        <v>138</v>
      </c>
      <c r="C38" s="81">
        <v>0</v>
      </c>
      <c r="E38" s="81">
        <v>12.806122649402392</v>
      </c>
      <c r="I38" s="136"/>
      <c r="J38" s="136"/>
      <c r="K38" s="81">
        <v>13.095738390032219</v>
      </c>
      <c r="L38" s="136"/>
    </row>
    <row r="39" spans="2:12" x14ac:dyDescent="0.25">
      <c r="B39" s="126" t="s">
        <v>139</v>
      </c>
      <c r="C39" s="137">
        <v>8423.0147327160721</v>
      </c>
      <c r="D39" s="137"/>
      <c r="E39" s="137">
        <v>8914.693820514638</v>
      </c>
      <c r="F39" s="126"/>
      <c r="G39" s="126"/>
      <c r="H39" s="126"/>
      <c r="I39" s="138"/>
      <c r="J39" s="138"/>
      <c r="K39" s="137">
        <v>9116.3032872375879</v>
      </c>
      <c r="L39" s="137"/>
    </row>
    <row r="40" spans="2:12" x14ac:dyDescent="0.25">
      <c r="E40" s="140"/>
      <c r="I40" s="136"/>
      <c r="J40" s="136"/>
      <c r="K40" s="136"/>
      <c r="L40" s="136"/>
    </row>
  </sheetData>
  <mergeCells count="3">
    <mergeCell ref="A4:L4"/>
    <mergeCell ref="A6:L6"/>
    <mergeCell ref="E20:F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C0588-AB10-43BF-9D82-7F6F2C6282C3}">
  <dimension ref="A1:P41"/>
  <sheetViews>
    <sheetView topLeftCell="A18" workbookViewId="0">
      <selection activeCell="C33" sqref="C33"/>
    </sheetView>
  </sheetViews>
  <sheetFormatPr defaultRowHeight="15" x14ac:dyDescent="0.25"/>
  <cols>
    <col min="2" max="2" width="37" customWidth="1"/>
    <col min="3" max="3" width="13.42578125" customWidth="1"/>
    <col min="4" max="4" width="14.5703125" customWidth="1"/>
    <col min="5" max="5" width="8.85546875" customWidth="1"/>
    <col min="6" max="6" width="2.7109375" customWidth="1"/>
    <col min="7" max="7" width="14" customWidth="1"/>
    <col min="8" max="8" width="14.140625" customWidth="1"/>
    <col min="9" max="9" width="11" customWidth="1"/>
    <col min="10" max="10" width="13.5703125" customWidth="1"/>
    <col min="11" max="11" width="15.28515625" customWidth="1"/>
    <col min="12" max="12" width="12.140625" customWidth="1"/>
    <col min="13" max="13" width="10" customWidth="1"/>
    <col min="14" max="14" width="9.5703125" customWidth="1"/>
    <col min="15" max="15" width="12.42578125" customWidth="1"/>
  </cols>
  <sheetData>
    <row r="1" spans="1:16" x14ac:dyDescent="0.25">
      <c r="I1" s="34" t="s">
        <v>233</v>
      </c>
    </row>
    <row r="2" spans="1:16" x14ac:dyDescent="0.25">
      <c r="I2" s="221" t="s">
        <v>223</v>
      </c>
      <c r="J2" s="222" t="s">
        <v>224</v>
      </c>
      <c r="K2" s="222" t="s">
        <v>44</v>
      </c>
      <c r="L2" s="223" t="s">
        <v>226</v>
      </c>
      <c r="M2" s="222" t="s">
        <v>228</v>
      </c>
      <c r="N2" s="231" t="s">
        <v>231</v>
      </c>
      <c r="O2" s="231" t="s">
        <v>7</v>
      </c>
    </row>
    <row r="3" spans="1:16" x14ac:dyDescent="0.25">
      <c r="H3" t="s">
        <v>227</v>
      </c>
      <c r="I3" s="2">
        <v>18380260</v>
      </c>
      <c r="J3" s="2">
        <v>927310</v>
      </c>
      <c r="K3" s="2">
        <v>12170385</v>
      </c>
      <c r="L3" s="2">
        <v>8086119</v>
      </c>
      <c r="M3" s="2">
        <v>647556</v>
      </c>
      <c r="N3" s="2">
        <v>106803</v>
      </c>
      <c r="O3" s="2">
        <f>SUM(I3:N3)</f>
        <v>40318433</v>
      </c>
    </row>
    <row r="4" spans="1:16" x14ac:dyDescent="0.25">
      <c r="H4" t="s">
        <v>229</v>
      </c>
      <c r="I4" s="2">
        <v>18775743</v>
      </c>
      <c r="J4" s="2">
        <v>793631</v>
      </c>
      <c r="K4" s="2">
        <v>11975447</v>
      </c>
      <c r="L4" s="2">
        <v>7598865</v>
      </c>
      <c r="M4" s="2">
        <v>659019</v>
      </c>
      <c r="N4" s="2">
        <v>106803</v>
      </c>
      <c r="O4" s="2">
        <f>SUM(I4:N4)</f>
        <v>39909508</v>
      </c>
    </row>
    <row r="5" spans="1:16" x14ac:dyDescent="0.25">
      <c r="H5" t="s">
        <v>230</v>
      </c>
      <c r="I5" s="2">
        <v>18868436</v>
      </c>
      <c r="J5" s="2">
        <v>826727</v>
      </c>
      <c r="K5" s="2">
        <f>'Data and Sources'!E102</f>
        <v>11702421</v>
      </c>
      <c r="L5" s="2">
        <v>8202700</v>
      </c>
      <c r="M5" s="2">
        <v>709692</v>
      </c>
      <c r="N5" s="2">
        <v>106803</v>
      </c>
      <c r="O5" s="2">
        <f>SUM(I5:N5)</f>
        <v>40416779</v>
      </c>
    </row>
    <row r="7" spans="1:16" x14ac:dyDescent="0.25">
      <c r="I7" s="2"/>
    </row>
    <row r="9" spans="1:16" ht="15.75" x14ac:dyDescent="0.25">
      <c r="B9" s="141" t="s">
        <v>176</v>
      </c>
    </row>
    <row r="10" spans="1:16" x14ac:dyDescent="0.25">
      <c r="C10" s="245" t="s">
        <v>177</v>
      </c>
      <c r="D10" s="245"/>
      <c r="E10" s="245"/>
      <c r="G10" s="246" t="s">
        <v>4</v>
      </c>
      <c r="H10" s="246"/>
      <c r="I10" s="246"/>
      <c r="J10" s="246"/>
    </row>
    <row r="11" spans="1:16" x14ac:dyDescent="0.25">
      <c r="C11" s="135"/>
      <c r="D11" s="135"/>
      <c r="E11" s="135"/>
      <c r="K11" s="26" t="s">
        <v>181</v>
      </c>
    </row>
    <row r="12" spans="1:16" x14ac:dyDescent="0.25">
      <c r="B12" s="126" t="s">
        <v>140</v>
      </c>
      <c r="C12" s="125" t="s">
        <v>126</v>
      </c>
      <c r="D12" s="125" t="s">
        <v>127</v>
      </c>
      <c r="E12" s="125"/>
      <c r="G12" s="26" t="s">
        <v>4</v>
      </c>
      <c r="H12" s="26" t="s">
        <v>4</v>
      </c>
      <c r="I12" s="34" t="s">
        <v>232</v>
      </c>
      <c r="J12" s="34" t="s">
        <v>182</v>
      </c>
      <c r="K12" s="207" t="s">
        <v>179</v>
      </c>
      <c r="L12" s="207" t="s">
        <v>213</v>
      </c>
      <c r="N12" s="246" t="s">
        <v>234</v>
      </c>
      <c r="O12" s="246"/>
    </row>
    <row r="13" spans="1:16" x14ac:dyDescent="0.25">
      <c r="C13" s="125" t="s">
        <v>131</v>
      </c>
      <c r="D13" s="125" t="s">
        <v>132</v>
      </c>
      <c r="E13" s="125" t="s">
        <v>130</v>
      </c>
      <c r="G13" s="125" t="s">
        <v>131</v>
      </c>
      <c r="H13" s="125" t="s">
        <v>132</v>
      </c>
      <c r="I13" s="125" t="s">
        <v>130</v>
      </c>
      <c r="J13" s="125" t="s">
        <v>183</v>
      </c>
      <c r="K13" s="207" t="s">
        <v>180</v>
      </c>
      <c r="L13" s="207" t="s">
        <v>214</v>
      </c>
      <c r="N13" s="26" t="s">
        <v>235</v>
      </c>
      <c r="O13" s="26" t="s">
        <v>180</v>
      </c>
    </row>
    <row r="14" spans="1:16" x14ac:dyDescent="0.25">
      <c r="A14">
        <f>H14/D14</f>
        <v>1.0081083896777625</v>
      </c>
      <c r="B14" t="s">
        <v>133</v>
      </c>
      <c r="C14" s="81">
        <v>18698234.674625635</v>
      </c>
      <c r="D14" s="81">
        <v>19041641.94698938</v>
      </c>
      <c r="E14" s="136">
        <v>1.8365759032309192E-2</v>
      </c>
      <c r="G14" s="81">
        <f>'Data and Sources'!E62-'Test Year Load Forecast'!G15</f>
        <v>19029363</v>
      </c>
      <c r="H14" s="81">
        <f>'Data and Sources'!E100-'Test Year Load Forecast'!H15</f>
        <v>19196039</v>
      </c>
      <c r="I14" s="38">
        <f>H14/G14-1</f>
        <v>8.7588848875288505E-3</v>
      </c>
      <c r="J14" s="38">
        <f>(I14+E14)/2</f>
        <v>1.3562321959919021E-2</v>
      </c>
      <c r="K14" s="81">
        <f>H14*(1+J14)</f>
        <v>19456381.861273162</v>
      </c>
      <c r="L14" s="24">
        <f t="shared" ref="L14:L19" si="0">K14/D14-1</f>
        <v>2.1780680229067872E-2</v>
      </c>
      <c r="N14" s="81">
        <f>'Load Forecast for GRA 2025-26'!K11</f>
        <v>1896.8933176352386</v>
      </c>
      <c r="O14" s="2">
        <f>45+1873.08333333333</f>
        <v>1918.0833333333301</v>
      </c>
      <c r="P14" s="206">
        <f t="shared" ref="P14:P19" si="1">(N14/O14-1)*-1</f>
        <v>1.1047494824568682E-2</v>
      </c>
    </row>
    <row r="15" spans="1:16" x14ac:dyDescent="0.25">
      <c r="B15" t="s">
        <v>134</v>
      </c>
      <c r="C15" s="81">
        <v>445125.43989584077</v>
      </c>
      <c r="D15" s="81">
        <v>462512.05130367348</v>
      </c>
      <c r="E15" s="136">
        <v>3.906002634201533E-2</v>
      </c>
      <c r="G15" s="81">
        <v>405399</v>
      </c>
      <c r="H15" s="81">
        <v>382089</v>
      </c>
      <c r="I15" s="38">
        <f t="shared" ref="I15:I20" si="2">H15/G15-1</f>
        <v>-5.7498908482754074E-2</v>
      </c>
      <c r="J15" s="38">
        <f>(I15+E15)/2</f>
        <v>-9.2194410703693719E-3</v>
      </c>
      <c r="K15" s="81">
        <f>H15*(1+J15)</f>
        <v>378566.35298086359</v>
      </c>
      <c r="L15" s="24">
        <f t="shared" si="0"/>
        <v>-0.1814994832809087</v>
      </c>
      <c r="N15" s="81">
        <f>'Load Forecast for GRA 2025-26'!K12</f>
        <v>22.424534075578631</v>
      </c>
      <c r="O15">
        <v>19</v>
      </c>
      <c r="P15" s="206">
        <f t="shared" si="1"/>
        <v>-0.18023863555677</v>
      </c>
    </row>
    <row r="16" spans="1:16" x14ac:dyDescent="0.25">
      <c r="B16" t="s">
        <v>135</v>
      </c>
      <c r="C16" s="81">
        <v>969370.504082461</v>
      </c>
      <c r="D16" s="81">
        <v>961429.52600797324</v>
      </c>
      <c r="E16" s="136">
        <v>-8.1918915843268714E-3</v>
      </c>
      <c r="G16" s="81">
        <f>'Data and Sources'!E63</f>
        <v>793631</v>
      </c>
      <c r="H16" s="81">
        <f>'Data and Sources'!E101</f>
        <v>826727</v>
      </c>
      <c r="I16" s="38">
        <f t="shared" si="2"/>
        <v>4.170200004788116E-2</v>
      </c>
      <c r="J16" s="38">
        <f>(I16+E16)/2</f>
        <v>1.6755054231777144E-2</v>
      </c>
      <c r="K16" s="81">
        <f>H16*(1+J16)</f>
        <v>840578.85571987438</v>
      </c>
      <c r="L16" s="24">
        <f t="shared" si="0"/>
        <v>-0.12569893790332443</v>
      </c>
      <c r="N16" s="81">
        <f>'Load Forecast for GRA 2025-26'!K13</f>
        <v>222.58647680120708</v>
      </c>
      <c r="O16" s="2">
        <v>204.33333333333334</v>
      </c>
      <c r="P16" s="206">
        <f t="shared" si="1"/>
        <v>-8.9330229043427689E-2</v>
      </c>
    </row>
    <row r="17" spans="2:16" x14ac:dyDescent="0.25">
      <c r="B17" t="s">
        <v>136</v>
      </c>
      <c r="C17" s="81">
        <v>12247509.199012773</v>
      </c>
      <c r="D17" s="81">
        <v>12397739.908284938</v>
      </c>
      <c r="E17" s="136">
        <v>1.2266225469279357E-2</v>
      </c>
      <c r="G17" s="81">
        <f>'Data and Sources'!E64</f>
        <v>11975447</v>
      </c>
      <c r="H17" s="81">
        <f>'Data and Sources'!E102</f>
        <v>11702421</v>
      </c>
      <c r="I17" s="38">
        <f t="shared" si="2"/>
        <v>-2.2798814941939138E-2</v>
      </c>
      <c r="J17" s="38">
        <f>(I17+E17)/2</f>
        <v>-5.2662947363298906E-3</v>
      </c>
      <c r="K17" s="81">
        <f>H17*(1+J17)</f>
        <v>11640792.601885384</v>
      </c>
      <c r="L17" s="24">
        <f t="shared" si="0"/>
        <v>-6.1055265879042642E-2</v>
      </c>
      <c r="N17" s="81">
        <f>'Load Forecast for GRA 2025-26'!K14</f>
        <v>193.92124094948687</v>
      </c>
      <c r="O17" s="2">
        <v>191.75</v>
      </c>
      <c r="P17" s="206">
        <f t="shared" si="1"/>
        <v>-1.1323290479722914E-2</v>
      </c>
    </row>
    <row r="18" spans="2:16" x14ac:dyDescent="0.25">
      <c r="B18" t="s">
        <v>137</v>
      </c>
      <c r="C18" s="81">
        <v>8179860.085</v>
      </c>
      <c r="D18" s="81">
        <v>8272807.8875500001</v>
      </c>
      <c r="E18" s="136">
        <v>1.1363006406484244E-2</v>
      </c>
      <c r="G18" s="81">
        <f>'Data and Sources'!E65</f>
        <v>7598865</v>
      </c>
      <c r="H18" s="81">
        <f>'Data and Sources'!E103</f>
        <v>8202700</v>
      </c>
      <c r="I18" s="38">
        <f t="shared" si="2"/>
        <v>7.9463840981514933E-2</v>
      </c>
      <c r="J18" s="38">
        <f>K18/H18-1</f>
        <v>8.5469281517061013E-3</v>
      </c>
      <c r="K18" s="81">
        <f>D18</f>
        <v>8272807.8875500001</v>
      </c>
      <c r="L18" s="24">
        <f t="shared" si="0"/>
        <v>0</v>
      </c>
      <c r="N18" s="81">
        <f>'Load Forecast for GRA 2025-26'!K15</f>
        <v>3</v>
      </c>
      <c r="O18" s="2">
        <v>3</v>
      </c>
      <c r="P18" s="206">
        <f t="shared" si="1"/>
        <v>0</v>
      </c>
    </row>
    <row r="19" spans="2:16" x14ac:dyDescent="0.25">
      <c r="B19" t="s">
        <v>138</v>
      </c>
      <c r="C19" s="81">
        <v>155225.72908366536</v>
      </c>
      <c r="D19" s="81">
        <v>155225.72908366536</v>
      </c>
      <c r="E19" s="136">
        <v>0</v>
      </c>
      <c r="G19" s="2">
        <f>'Data and Sources'!E66</f>
        <v>106803</v>
      </c>
      <c r="H19" s="81">
        <f>'Data and Sources'!E104</f>
        <v>106803</v>
      </c>
      <c r="I19" s="38">
        <f t="shared" si="2"/>
        <v>0</v>
      </c>
      <c r="J19" s="38">
        <f>(I19+E19)/2</f>
        <v>0</v>
      </c>
      <c r="K19" s="81">
        <f>H19*(1+J19)</f>
        <v>106803</v>
      </c>
      <c r="L19" s="24">
        <f t="shared" si="0"/>
        <v>-0.31195040519066208</v>
      </c>
      <c r="N19" s="81">
        <f>'Load Forecast for GRA 2025-26'!K16</f>
        <v>661</v>
      </c>
      <c r="O19" s="2">
        <v>661</v>
      </c>
      <c r="P19" s="206">
        <f t="shared" si="1"/>
        <v>0</v>
      </c>
    </row>
    <row r="20" spans="2:16" x14ac:dyDescent="0.25">
      <c r="B20" s="126" t="s">
        <v>139</v>
      </c>
      <c r="C20" s="137">
        <v>40695325.631700374</v>
      </c>
      <c r="D20" s="137">
        <v>41291357.049219631</v>
      </c>
      <c r="E20" s="138">
        <v>1.4646188678115957E-2</v>
      </c>
      <c r="G20" s="205">
        <f>SUM(G14:G19)</f>
        <v>39909508</v>
      </c>
      <c r="H20" s="205">
        <f>SUM(H14:H19)</f>
        <v>40416779</v>
      </c>
      <c r="I20" s="206">
        <f t="shared" si="2"/>
        <v>1.2710530032091549E-2</v>
      </c>
      <c r="K20" s="205">
        <f>SUM(K14:K19)</f>
        <v>40695930.559409291</v>
      </c>
      <c r="M20" s="206">
        <f>K20/H20-1</f>
        <v>6.9068235103368902E-3</v>
      </c>
    </row>
    <row r="22" spans="2:16" x14ac:dyDescent="0.25">
      <c r="B22" t="s">
        <v>178</v>
      </c>
      <c r="G22" s="206">
        <f>G20/C20-1</f>
        <v>-1.9309776233569331E-2</v>
      </c>
      <c r="H22" s="206">
        <f>H20/D20-1</f>
        <v>-2.1180656479202864E-2</v>
      </c>
    </row>
    <row r="23" spans="2:16" x14ac:dyDescent="0.25">
      <c r="B23" t="s">
        <v>206</v>
      </c>
      <c r="M23" s="95"/>
    </row>
    <row r="24" spans="2:16" x14ac:dyDescent="0.25">
      <c r="M24" s="95"/>
    </row>
    <row r="25" spans="2:16" x14ac:dyDescent="0.25">
      <c r="B25" t="s">
        <v>184</v>
      </c>
      <c r="C25" s="120">
        <v>3.5999999999999997E-2</v>
      </c>
      <c r="M25" s="95"/>
    </row>
    <row r="26" spans="2:16" x14ac:dyDescent="0.25">
      <c r="B26" t="s">
        <v>185</v>
      </c>
      <c r="C26" s="120">
        <f>'Data and Sources'!D37</f>
        <v>3.7502629103259626E-2</v>
      </c>
      <c r="M26" s="95"/>
    </row>
    <row r="27" spans="2:16" x14ac:dyDescent="0.25">
      <c r="B27" t="s">
        <v>186</v>
      </c>
      <c r="C27" s="120">
        <f>'Data and Sources'!D72</f>
        <v>4.6717759339199819E-2</v>
      </c>
      <c r="M27" s="95"/>
    </row>
    <row r="28" spans="2:16" x14ac:dyDescent="0.25">
      <c r="B28" t="s">
        <v>187</v>
      </c>
      <c r="C28" s="120">
        <f>'Data and Sources'!D118</f>
        <v>6.4904566160498028E-2</v>
      </c>
      <c r="M28" s="95"/>
    </row>
    <row r="30" spans="2:16" x14ac:dyDescent="0.25">
      <c r="B30" t="s">
        <v>188</v>
      </c>
      <c r="C30" s="120">
        <f>AVERAGE(C25:C29)</f>
        <v>4.6281238650739367E-2</v>
      </c>
    </row>
    <row r="32" spans="2:16" x14ac:dyDescent="0.25">
      <c r="B32" t="s">
        <v>189</v>
      </c>
      <c r="C32" s="137">
        <v>42672063.536268771</v>
      </c>
      <c r="D32" s="60">
        <f>C32/'Data and Sources'!C95</f>
        <v>0.98727441306676222</v>
      </c>
    </row>
    <row r="33" spans="2:7" x14ac:dyDescent="0.25">
      <c r="B33" t="s">
        <v>190</v>
      </c>
      <c r="C33" s="24">
        <f>(C32-K20)/C32</f>
        <v>4.6309758963962035E-2</v>
      </c>
    </row>
    <row r="34" spans="2:7" x14ac:dyDescent="0.25">
      <c r="B34" t="s">
        <v>191</v>
      </c>
      <c r="C34" s="58">
        <f>D32*'Data and Sources'!D94</f>
        <v>10407.846862549808</v>
      </c>
      <c r="D34" t="s">
        <v>192</v>
      </c>
    </row>
    <row r="36" spans="2:7" x14ac:dyDescent="0.25">
      <c r="C36" t="s">
        <v>193</v>
      </c>
      <c r="D36" t="s">
        <v>103</v>
      </c>
    </row>
    <row r="37" spans="2:7" x14ac:dyDescent="0.25">
      <c r="B37" t="s">
        <v>194</v>
      </c>
      <c r="C37" s="37">
        <f>'Data and Sources'!D94</f>
        <v>10542</v>
      </c>
      <c r="D37" s="58">
        <f>C32*0.67</f>
        <v>28590282.569300078</v>
      </c>
    </row>
    <row r="38" spans="2:7" x14ac:dyDescent="0.25">
      <c r="B38" t="s">
        <v>195</v>
      </c>
      <c r="C38" s="37">
        <f>C34</f>
        <v>10407.846862549808</v>
      </c>
      <c r="D38" s="37">
        <f>C32-D37</f>
        <v>14081780.966968693</v>
      </c>
    </row>
    <row r="39" spans="2:7" x14ac:dyDescent="0.25">
      <c r="B39" t="s">
        <v>196</v>
      </c>
      <c r="C39" s="37">
        <f>C38</f>
        <v>10407.846862549808</v>
      </c>
      <c r="D39" s="37">
        <f>D37*(1+M20)</f>
        <v>28787750.605116896</v>
      </c>
      <c r="G39" s="37"/>
    </row>
    <row r="41" spans="2:7" x14ac:dyDescent="0.25">
      <c r="C41" s="37"/>
    </row>
  </sheetData>
  <mergeCells count="3">
    <mergeCell ref="C10:E10"/>
    <mergeCell ref="G10:J10"/>
    <mergeCell ref="N12:O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BEE72-BBD0-4E5C-B143-7F0315AFAD51}">
  <sheetPr>
    <pageSetUpPr fitToPage="1"/>
  </sheetPr>
  <dimension ref="A1:AB162"/>
  <sheetViews>
    <sheetView topLeftCell="E139" workbookViewId="0">
      <selection activeCell="H110" sqref="H110"/>
    </sheetView>
  </sheetViews>
  <sheetFormatPr defaultRowHeight="15" x14ac:dyDescent="0.25"/>
  <cols>
    <col min="2" max="2" width="10.140625" customWidth="1"/>
    <col min="3" max="3" width="16.85546875" customWidth="1"/>
    <col min="4" max="4" width="14.140625" customWidth="1"/>
    <col min="5" max="6" width="13.42578125" customWidth="1"/>
    <col min="7" max="7" width="15" customWidth="1"/>
    <col min="8" max="8" width="20" customWidth="1"/>
    <col min="9" max="9" width="19.140625" customWidth="1"/>
    <col min="10" max="10" width="17.7109375" customWidth="1"/>
    <col min="11" max="11" width="20.28515625" customWidth="1"/>
    <col min="12" max="12" width="19" customWidth="1"/>
    <col min="13" max="13" width="14.5703125" customWidth="1"/>
    <col min="14" max="14" width="16" customWidth="1"/>
    <col min="15" max="15" width="4.140625" customWidth="1"/>
    <col min="16" max="17" width="14.42578125" customWidth="1"/>
    <col min="18" max="18" width="10.140625" bestFit="1" customWidth="1"/>
    <col min="19" max="19" width="13.42578125" customWidth="1"/>
    <col min="20" max="20" width="18.85546875" customWidth="1"/>
    <col min="21" max="21" width="15.5703125" customWidth="1"/>
    <col min="22" max="22" width="11.85546875" customWidth="1"/>
    <col min="23" max="23" width="18.85546875" customWidth="1"/>
    <col min="24" max="24" width="14.42578125" customWidth="1"/>
    <col min="25" max="25" width="12.85546875" customWidth="1"/>
    <col min="26" max="26" width="13.28515625" customWidth="1"/>
    <col min="27" max="27" width="15.85546875" customWidth="1"/>
  </cols>
  <sheetData>
    <row r="1" spans="2:26" x14ac:dyDescent="0.25">
      <c r="B1" s="95" t="s">
        <v>222</v>
      </c>
    </row>
    <row r="3" spans="2:26" ht="20.25" x14ac:dyDescent="0.3">
      <c r="B3" s="103" t="s">
        <v>0</v>
      </c>
      <c r="C3" s="2"/>
      <c r="D3" s="3"/>
      <c r="E3" s="3"/>
      <c r="F3" s="3"/>
    </row>
    <row r="4" spans="2:26" ht="15.75" x14ac:dyDescent="0.25">
      <c r="B4" s="104" t="s">
        <v>151</v>
      </c>
      <c r="C4" s="2"/>
      <c r="D4" s="3"/>
      <c r="E4" s="3"/>
      <c r="F4" s="3"/>
    </row>
    <row r="5" spans="2:26" x14ac:dyDescent="0.25">
      <c r="C5" s="2"/>
      <c r="D5" s="3"/>
      <c r="E5" s="3"/>
      <c r="F5" s="3"/>
    </row>
    <row r="6" spans="2:26" x14ac:dyDescent="0.25">
      <c r="C6" s="2"/>
      <c r="D6" s="3"/>
      <c r="E6" s="3"/>
      <c r="F6" s="3"/>
      <c r="G6" s="96"/>
      <c r="H6" s="96"/>
      <c r="I6" s="5"/>
      <c r="J6" s="5"/>
      <c r="K6" s="5"/>
      <c r="L6" s="5"/>
    </row>
    <row r="7" spans="2:26" x14ac:dyDescent="0.25">
      <c r="B7" s="1" t="s">
        <v>1</v>
      </c>
      <c r="C7" s="2"/>
      <c r="D7" s="3"/>
      <c r="E7" s="6"/>
      <c r="F7" s="6"/>
    </row>
    <row r="8" spans="2:26" x14ac:dyDescent="0.25">
      <c r="B8" s="1"/>
      <c r="C8" s="2"/>
      <c r="D8" s="3"/>
      <c r="E8" s="6"/>
      <c r="F8" s="6"/>
    </row>
    <row r="9" spans="2:26" x14ac:dyDescent="0.25">
      <c r="C9" s="97" t="s">
        <v>2</v>
      </c>
      <c r="D9" s="98" t="s">
        <v>3</v>
      </c>
      <c r="E9" s="98" t="s">
        <v>4</v>
      </c>
      <c r="F9" s="98" t="s">
        <v>5</v>
      </c>
      <c r="G9" s="7" t="s">
        <v>5</v>
      </c>
      <c r="H9" s="7" t="s">
        <v>43</v>
      </c>
      <c r="I9" s="7" t="s">
        <v>147</v>
      </c>
      <c r="J9" s="7" t="s">
        <v>150</v>
      </c>
      <c r="K9" s="7" t="s">
        <v>149</v>
      </c>
      <c r="L9" s="7" t="s">
        <v>144</v>
      </c>
      <c r="M9" s="7" t="s">
        <v>7</v>
      </c>
      <c r="N9" s="7" t="s">
        <v>8</v>
      </c>
      <c r="O9" s="7"/>
      <c r="P9" s="7"/>
      <c r="Q9" s="7"/>
      <c r="S9" s="146"/>
      <c r="T9" s="151" t="s">
        <v>2</v>
      </c>
      <c r="U9" s="156" t="s">
        <v>3</v>
      </c>
      <c r="V9" s="156" t="s">
        <v>4</v>
      </c>
      <c r="W9" s="148" t="s">
        <v>5</v>
      </c>
      <c r="X9" s="148" t="s">
        <v>6</v>
      </c>
      <c r="Y9" s="148" t="s">
        <v>143</v>
      </c>
      <c r="Z9" s="148" t="s">
        <v>7</v>
      </c>
    </row>
    <row r="10" spans="2:26" x14ac:dyDescent="0.25">
      <c r="B10" s="8"/>
      <c r="C10" s="99"/>
      <c r="D10" s="100" t="s">
        <v>5</v>
      </c>
      <c r="E10" s="100" t="s">
        <v>5</v>
      </c>
      <c r="F10" s="100" t="s">
        <v>146</v>
      </c>
      <c r="G10" s="9" t="s">
        <v>8</v>
      </c>
      <c r="H10" s="9"/>
      <c r="I10" s="9" t="s">
        <v>148</v>
      </c>
      <c r="J10" s="9"/>
      <c r="K10" s="9"/>
      <c r="L10" s="9" t="s">
        <v>145</v>
      </c>
      <c r="M10" s="9" t="s">
        <v>8</v>
      </c>
      <c r="N10" s="9" t="s">
        <v>109</v>
      </c>
      <c r="O10" s="7"/>
      <c r="P10" s="7"/>
      <c r="Q10" s="7"/>
      <c r="S10" s="153"/>
      <c r="T10" s="152"/>
      <c r="U10" s="157" t="s">
        <v>5</v>
      </c>
      <c r="V10" s="157" t="s">
        <v>5</v>
      </c>
      <c r="W10" s="149" t="s">
        <v>8</v>
      </c>
      <c r="X10" s="149" t="s">
        <v>9</v>
      </c>
      <c r="Y10" s="149"/>
      <c r="Z10" s="149" t="s">
        <v>8</v>
      </c>
    </row>
    <row r="11" spans="2:26" x14ac:dyDescent="0.25">
      <c r="B11" s="147">
        <v>45017</v>
      </c>
      <c r="C11" s="2">
        <f>T11</f>
        <v>3195424</v>
      </c>
      <c r="D11" s="11">
        <f>U11</f>
        <v>10171</v>
      </c>
      <c r="E11" s="3">
        <f>V11</f>
        <v>7413</v>
      </c>
      <c r="F11" s="144">
        <v>13.108000000000001</v>
      </c>
      <c r="G11" s="65">
        <f>F11*D11</f>
        <v>133321.46799999999</v>
      </c>
      <c r="H11" s="5">
        <f>9.311/100</f>
        <v>9.3109999999999998E-2</v>
      </c>
      <c r="I11" s="65">
        <f>H11*C11</f>
        <v>297525.92864</v>
      </c>
      <c r="J11" s="166">
        <f>0.635/100</f>
        <v>6.3499999999999997E-3</v>
      </c>
      <c r="K11" s="65">
        <f>J11*C11</f>
        <v>20290.9424</v>
      </c>
      <c r="L11" s="65">
        <f>Y11</f>
        <v>12190.92</v>
      </c>
      <c r="M11" s="65">
        <f>L11+K11+I11+G11</f>
        <v>463329.25903999998</v>
      </c>
      <c r="N11" s="5">
        <f>M11/C11</f>
        <v>0.14499774021851247</v>
      </c>
      <c r="O11" s="5"/>
      <c r="P11" s="5"/>
      <c r="Q11" s="5"/>
      <c r="R11" t="b">
        <f>M11=Z11</f>
        <v>1</v>
      </c>
      <c r="S11" s="147">
        <v>45017</v>
      </c>
      <c r="T11" s="150">
        <v>3195424</v>
      </c>
      <c r="U11" s="159">
        <v>10171</v>
      </c>
      <c r="V11" s="154">
        <v>7413</v>
      </c>
      <c r="W11" s="155">
        <v>133321.46799999999</v>
      </c>
      <c r="X11" s="155">
        <v>317816.87104</v>
      </c>
      <c r="Y11" s="155">
        <v>12190.92</v>
      </c>
      <c r="Z11" s="155">
        <v>463329.25903999998</v>
      </c>
    </row>
    <row r="12" spans="2:26" x14ac:dyDescent="0.25">
      <c r="B12" s="147">
        <v>45047</v>
      </c>
      <c r="C12" s="2">
        <f t="shared" ref="C12:C22" si="0">T12</f>
        <v>2958907</v>
      </c>
      <c r="D12" s="11">
        <f t="shared" ref="D12:D22" si="1">U12</f>
        <v>10171</v>
      </c>
      <c r="E12" s="3">
        <f t="shared" ref="E12:E22" si="2">V12</f>
        <v>6615</v>
      </c>
      <c r="F12" s="144">
        <v>13.108000000000001</v>
      </c>
      <c r="G12" s="65">
        <f t="shared" ref="G12:G22" si="3">F12*D12</f>
        <v>133321.46799999999</v>
      </c>
      <c r="H12" s="5">
        <f t="shared" ref="H12:H19" si="4">9.311/100</f>
        <v>9.3109999999999998E-2</v>
      </c>
      <c r="I12" s="65">
        <f t="shared" ref="I12:I22" si="5">H12*C12</f>
        <v>275503.83077</v>
      </c>
      <c r="J12" s="166">
        <f t="shared" ref="J12:J19" si="6">0.635/100</f>
        <v>6.3499999999999997E-3</v>
      </c>
      <c r="K12" s="65">
        <f t="shared" ref="K12:K22" si="7">J12*C12</f>
        <v>18789.059450000001</v>
      </c>
      <c r="L12" s="65">
        <f t="shared" ref="L12:L22" si="8">Y12</f>
        <v>12190.92</v>
      </c>
      <c r="M12" s="65">
        <f t="shared" ref="M12:M22" si="9">L12+K12+I12+G12</f>
        <v>439805.27821999998</v>
      </c>
      <c r="N12" s="5">
        <f t="shared" ref="N12:N23" si="10">M12/C12</f>
        <v>0.14863774975692037</v>
      </c>
      <c r="O12" s="5"/>
      <c r="P12" s="5"/>
      <c r="Q12" s="5"/>
      <c r="R12" t="b">
        <f t="shared" ref="R12:R22" si="11">M12=Z12</f>
        <v>1</v>
      </c>
      <c r="S12" s="147">
        <v>45047</v>
      </c>
      <c r="T12" s="150">
        <v>2958907</v>
      </c>
      <c r="U12" s="159">
        <v>10171</v>
      </c>
      <c r="V12" s="154">
        <v>6615</v>
      </c>
      <c r="W12" s="155">
        <v>133321.46799999999</v>
      </c>
      <c r="X12" s="155">
        <v>294292.89022</v>
      </c>
      <c r="Y12" s="155">
        <v>12190.92</v>
      </c>
      <c r="Z12" s="155">
        <v>439805.27821999998</v>
      </c>
    </row>
    <row r="13" spans="2:26" x14ac:dyDescent="0.25">
      <c r="B13" s="147">
        <v>45078</v>
      </c>
      <c r="C13" s="2">
        <f t="shared" si="0"/>
        <v>2781192</v>
      </c>
      <c r="D13" s="11">
        <f t="shared" si="1"/>
        <v>10171</v>
      </c>
      <c r="E13" s="3">
        <f t="shared" si="2"/>
        <v>7343</v>
      </c>
      <c r="F13" s="144">
        <v>13.108000000000001</v>
      </c>
      <c r="G13" s="65">
        <f t="shared" si="3"/>
        <v>133321.46799999999</v>
      </c>
      <c r="H13" s="5">
        <f t="shared" si="4"/>
        <v>9.3109999999999998E-2</v>
      </c>
      <c r="I13" s="65">
        <f t="shared" si="5"/>
        <v>258956.78711999999</v>
      </c>
      <c r="J13" s="166">
        <f t="shared" si="6"/>
        <v>6.3499999999999997E-3</v>
      </c>
      <c r="K13" s="65">
        <f t="shared" si="7"/>
        <v>17660.569199999998</v>
      </c>
      <c r="L13" s="65">
        <f t="shared" si="8"/>
        <v>12190.92</v>
      </c>
      <c r="M13" s="65">
        <f t="shared" si="9"/>
        <v>422129.74432</v>
      </c>
      <c r="N13" s="5">
        <f t="shared" si="10"/>
        <v>0.15178015193485384</v>
      </c>
      <c r="O13" s="5"/>
      <c r="P13" s="5"/>
      <c r="Q13" s="5"/>
      <c r="R13" t="b">
        <f t="shared" si="11"/>
        <v>1</v>
      </c>
      <c r="S13" s="147">
        <v>45078</v>
      </c>
      <c r="T13" s="150">
        <v>2781192</v>
      </c>
      <c r="U13" s="159">
        <v>10171</v>
      </c>
      <c r="V13" s="154">
        <v>7343</v>
      </c>
      <c r="W13" s="155">
        <v>133321.46799999999</v>
      </c>
      <c r="X13" s="155">
        <v>276617.35632000002</v>
      </c>
      <c r="Y13" s="155">
        <v>12190.92</v>
      </c>
      <c r="Z13" s="155">
        <v>422129.74432</v>
      </c>
    </row>
    <row r="14" spans="2:26" x14ac:dyDescent="0.25">
      <c r="B14" s="147">
        <v>45108</v>
      </c>
      <c r="C14" s="2">
        <f t="shared" si="0"/>
        <v>3135315</v>
      </c>
      <c r="D14" s="11">
        <f t="shared" si="1"/>
        <v>10171</v>
      </c>
      <c r="E14" s="3">
        <f t="shared" si="2"/>
        <v>6083</v>
      </c>
      <c r="F14" s="144">
        <v>13.108000000000001</v>
      </c>
      <c r="G14" s="65">
        <f t="shared" si="3"/>
        <v>133321.46799999999</v>
      </c>
      <c r="H14" s="5">
        <f t="shared" si="4"/>
        <v>9.3109999999999998E-2</v>
      </c>
      <c r="I14" s="65">
        <f t="shared" si="5"/>
        <v>291929.17965000001</v>
      </c>
      <c r="J14" s="166">
        <f t="shared" si="6"/>
        <v>6.3499999999999997E-3</v>
      </c>
      <c r="K14" s="65">
        <f t="shared" si="7"/>
        <v>19909.250250000001</v>
      </c>
      <c r="L14" s="65">
        <f t="shared" si="8"/>
        <v>12190.92</v>
      </c>
      <c r="M14" s="65">
        <f t="shared" si="9"/>
        <v>457350.81790000002</v>
      </c>
      <c r="N14" s="5">
        <f t="shared" si="10"/>
        <v>0.14587077148548072</v>
      </c>
      <c r="O14" s="5"/>
      <c r="P14" s="5"/>
      <c r="Q14" s="5"/>
      <c r="R14" t="b">
        <f t="shared" si="11"/>
        <v>1</v>
      </c>
      <c r="S14" s="147">
        <v>45108</v>
      </c>
      <c r="T14" s="150">
        <v>3135315</v>
      </c>
      <c r="U14" s="159">
        <v>10171</v>
      </c>
      <c r="V14" s="158">
        <v>6083</v>
      </c>
      <c r="W14" s="155">
        <v>133321.46799999999</v>
      </c>
      <c r="X14" s="155">
        <v>311838.42990000005</v>
      </c>
      <c r="Y14" s="155">
        <v>12190.92</v>
      </c>
      <c r="Z14" s="155">
        <v>457350.81790000002</v>
      </c>
    </row>
    <row r="15" spans="2:26" x14ac:dyDescent="0.25">
      <c r="B15" s="147">
        <v>45139</v>
      </c>
      <c r="C15" s="2">
        <f t="shared" si="0"/>
        <v>2909664</v>
      </c>
      <c r="D15" s="11">
        <f t="shared" si="1"/>
        <v>10171</v>
      </c>
      <c r="E15" s="3">
        <f t="shared" si="2"/>
        <v>5859</v>
      </c>
      <c r="F15" s="144">
        <v>13.108000000000001</v>
      </c>
      <c r="G15" s="65">
        <f t="shared" si="3"/>
        <v>133321.46799999999</v>
      </c>
      <c r="H15" s="5">
        <f t="shared" si="4"/>
        <v>9.3109999999999998E-2</v>
      </c>
      <c r="I15" s="65">
        <f t="shared" si="5"/>
        <v>270918.81504000002</v>
      </c>
      <c r="J15" s="166">
        <f t="shared" si="6"/>
        <v>6.3499999999999997E-3</v>
      </c>
      <c r="K15" s="65">
        <f t="shared" si="7"/>
        <v>18476.366399999999</v>
      </c>
      <c r="L15" s="65">
        <f t="shared" si="8"/>
        <v>12190.92</v>
      </c>
      <c r="M15" s="65">
        <f t="shared" si="9"/>
        <v>434907.56943999999</v>
      </c>
      <c r="N15" s="5">
        <f t="shared" si="10"/>
        <v>0.14947003139881443</v>
      </c>
      <c r="O15" s="5"/>
      <c r="P15" s="5"/>
      <c r="Q15" s="5"/>
      <c r="R15" t="b">
        <f t="shared" si="11"/>
        <v>1</v>
      </c>
      <c r="S15" s="147">
        <v>45139</v>
      </c>
      <c r="T15" s="150">
        <v>2909664</v>
      </c>
      <c r="U15" s="159">
        <v>10171</v>
      </c>
      <c r="V15" s="154">
        <v>5859</v>
      </c>
      <c r="W15" s="155">
        <v>133321.46799999999</v>
      </c>
      <c r="X15" s="155">
        <v>289395.18144000001</v>
      </c>
      <c r="Y15" s="155">
        <v>12190.92</v>
      </c>
      <c r="Z15" s="155">
        <v>434907.56943999999</v>
      </c>
    </row>
    <row r="16" spans="2:26" x14ac:dyDescent="0.25">
      <c r="B16" s="147">
        <v>45170</v>
      </c>
      <c r="C16" s="2">
        <f t="shared" si="0"/>
        <v>2685457</v>
      </c>
      <c r="D16" s="11">
        <f t="shared" si="1"/>
        <v>10171</v>
      </c>
      <c r="E16" s="3">
        <f t="shared" si="2"/>
        <v>5117</v>
      </c>
      <c r="F16" s="144">
        <v>13.108000000000001</v>
      </c>
      <c r="G16" s="65">
        <f t="shared" si="3"/>
        <v>133321.46799999999</v>
      </c>
      <c r="H16" s="5">
        <f t="shared" si="4"/>
        <v>9.3109999999999998E-2</v>
      </c>
      <c r="I16" s="65">
        <f t="shared" si="5"/>
        <v>250042.90127</v>
      </c>
      <c r="J16" s="166">
        <f t="shared" si="6"/>
        <v>6.3499999999999997E-3</v>
      </c>
      <c r="K16" s="65">
        <f t="shared" si="7"/>
        <v>17052.651949999999</v>
      </c>
      <c r="L16" s="65">
        <f t="shared" si="8"/>
        <v>12190.92</v>
      </c>
      <c r="M16" s="65">
        <f t="shared" si="9"/>
        <v>412607.94121999998</v>
      </c>
      <c r="N16" s="5">
        <f t="shared" si="10"/>
        <v>0.15364533530791966</v>
      </c>
      <c r="O16" s="5"/>
      <c r="P16" s="5"/>
      <c r="Q16" s="5"/>
      <c r="R16" t="b">
        <f t="shared" si="11"/>
        <v>1</v>
      </c>
      <c r="S16" s="147">
        <v>45170</v>
      </c>
      <c r="T16" s="150">
        <v>2685457</v>
      </c>
      <c r="U16" s="159">
        <v>10171</v>
      </c>
      <c r="V16" s="154">
        <v>5117</v>
      </c>
      <c r="W16" s="155">
        <v>133321.46799999999</v>
      </c>
      <c r="X16" s="155">
        <v>267095.55322</v>
      </c>
      <c r="Y16" s="155">
        <v>12190.92</v>
      </c>
      <c r="Z16" s="155">
        <v>412607.94121999998</v>
      </c>
    </row>
    <row r="17" spans="2:26" x14ac:dyDescent="0.25">
      <c r="B17" s="147">
        <v>45200</v>
      </c>
      <c r="C17" s="2">
        <f t="shared" si="0"/>
        <v>2855744</v>
      </c>
      <c r="D17" s="11">
        <f t="shared" si="1"/>
        <v>10171</v>
      </c>
      <c r="E17" s="3">
        <f t="shared" si="2"/>
        <v>6055</v>
      </c>
      <c r="F17" s="144">
        <v>13.108000000000001</v>
      </c>
      <c r="G17" s="65">
        <f t="shared" si="3"/>
        <v>133321.46799999999</v>
      </c>
      <c r="H17" s="5">
        <f t="shared" si="4"/>
        <v>9.3109999999999998E-2</v>
      </c>
      <c r="I17" s="65">
        <f t="shared" si="5"/>
        <v>265898.32383999997</v>
      </c>
      <c r="J17" s="166">
        <f t="shared" si="6"/>
        <v>6.3499999999999997E-3</v>
      </c>
      <c r="K17" s="65">
        <f t="shared" si="7"/>
        <v>18133.974399999999</v>
      </c>
      <c r="L17" s="65">
        <f t="shared" si="8"/>
        <v>12190.92</v>
      </c>
      <c r="M17" s="65">
        <f t="shared" si="9"/>
        <v>429544.68623999995</v>
      </c>
      <c r="N17" s="5">
        <f t="shared" si="10"/>
        <v>0.15041428301696508</v>
      </c>
      <c r="O17" s="5"/>
      <c r="P17" s="5"/>
      <c r="Q17" s="5"/>
      <c r="R17" t="b">
        <f t="shared" si="11"/>
        <v>1</v>
      </c>
      <c r="S17" s="147">
        <v>45200</v>
      </c>
      <c r="T17" s="150">
        <v>2855744</v>
      </c>
      <c r="U17" s="159">
        <v>10171</v>
      </c>
      <c r="V17" s="154">
        <v>6055</v>
      </c>
      <c r="W17" s="155">
        <v>133321.46799999999</v>
      </c>
      <c r="X17" s="155">
        <v>284032.29824000003</v>
      </c>
      <c r="Y17" s="155">
        <v>12190.92</v>
      </c>
      <c r="Z17" s="155">
        <v>429544.68624000001</v>
      </c>
    </row>
    <row r="18" spans="2:26" x14ac:dyDescent="0.25">
      <c r="B18" s="147">
        <v>45231</v>
      </c>
      <c r="C18" s="2">
        <f t="shared" si="0"/>
        <v>3738265</v>
      </c>
      <c r="D18" s="11">
        <f t="shared" si="1"/>
        <v>10171</v>
      </c>
      <c r="E18" s="3">
        <f t="shared" si="2"/>
        <v>8141</v>
      </c>
      <c r="F18" s="144">
        <v>13.108000000000001</v>
      </c>
      <c r="G18" s="65">
        <f t="shared" si="3"/>
        <v>133321.46799999999</v>
      </c>
      <c r="H18" s="5">
        <f t="shared" si="4"/>
        <v>9.3109999999999998E-2</v>
      </c>
      <c r="I18" s="65">
        <f t="shared" si="5"/>
        <v>348069.85414999997</v>
      </c>
      <c r="J18" s="166">
        <f t="shared" si="6"/>
        <v>6.3499999999999997E-3</v>
      </c>
      <c r="K18" s="65">
        <f t="shared" si="7"/>
        <v>23737.982749999999</v>
      </c>
      <c r="L18" s="65">
        <f t="shared" si="8"/>
        <v>12190.92</v>
      </c>
      <c r="M18" s="65">
        <f t="shared" si="9"/>
        <v>517320.22489999997</v>
      </c>
      <c r="N18" s="5">
        <f t="shared" si="10"/>
        <v>0.1383851131206589</v>
      </c>
      <c r="O18" s="5"/>
      <c r="P18" s="5"/>
      <c r="Q18" s="5"/>
      <c r="R18" t="b">
        <f t="shared" si="11"/>
        <v>1</v>
      </c>
      <c r="S18" s="147">
        <v>45231</v>
      </c>
      <c r="T18" s="150">
        <v>3738265</v>
      </c>
      <c r="U18" s="159">
        <v>10171</v>
      </c>
      <c r="V18" s="154">
        <v>8141</v>
      </c>
      <c r="W18" s="155">
        <v>133321.46799999999</v>
      </c>
      <c r="X18" s="155">
        <v>371807.83690000005</v>
      </c>
      <c r="Y18" s="155">
        <v>12190.92</v>
      </c>
      <c r="Z18" s="155">
        <v>517320.22490000003</v>
      </c>
    </row>
    <row r="19" spans="2:26" x14ac:dyDescent="0.25">
      <c r="B19" s="147">
        <v>45261</v>
      </c>
      <c r="C19" s="2">
        <f t="shared" si="0"/>
        <v>4259236</v>
      </c>
      <c r="D19" s="11">
        <f t="shared" si="1"/>
        <v>10171</v>
      </c>
      <c r="E19" s="3">
        <f t="shared" si="2"/>
        <v>8239</v>
      </c>
      <c r="F19" s="144">
        <v>13.108000000000001</v>
      </c>
      <c r="G19" s="65">
        <f t="shared" si="3"/>
        <v>133321.46799999999</v>
      </c>
      <c r="H19" s="5">
        <f t="shared" si="4"/>
        <v>9.3109999999999998E-2</v>
      </c>
      <c r="I19" s="65">
        <f t="shared" si="5"/>
        <v>396577.46395999996</v>
      </c>
      <c r="J19" s="166">
        <f t="shared" si="6"/>
        <v>6.3499999999999997E-3</v>
      </c>
      <c r="K19" s="65">
        <f t="shared" si="7"/>
        <v>27046.1486</v>
      </c>
      <c r="L19" s="65">
        <f t="shared" si="8"/>
        <v>12190.92</v>
      </c>
      <c r="M19" s="65">
        <f t="shared" si="9"/>
        <v>569136.00055999996</v>
      </c>
      <c r="N19" s="5">
        <f t="shared" si="10"/>
        <v>0.1336239646171285</v>
      </c>
      <c r="O19" s="5"/>
      <c r="P19" s="5"/>
      <c r="Q19" s="5"/>
      <c r="R19" t="b">
        <f t="shared" si="11"/>
        <v>1</v>
      </c>
      <c r="S19" s="147">
        <v>45261</v>
      </c>
      <c r="T19" s="150">
        <v>4259236</v>
      </c>
      <c r="U19" s="164">
        <v>10171</v>
      </c>
      <c r="V19" s="165">
        <v>8239</v>
      </c>
      <c r="W19" s="155">
        <v>133321.46799999999</v>
      </c>
      <c r="X19" s="155">
        <v>423623.61256000004</v>
      </c>
      <c r="Y19" s="155">
        <v>12190.92</v>
      </c>
      <c r="Z19" s="155">
        <v>569136.00056000007</v>
      </c>
    </row>
    <row r="20" spans="2:26" x14ac:dyDescent="0.25">
      <c r="B20" s="147">
        <v>45292</v>
      </c>
      <c r="C20" s="2">
        <f t="shared" si="0"/>
        <v>4857785</v>
      </c>
      <c r="D20" s="11">
        <f t="shared" si="1"/>
        <v>10171</v>
      </c>
      <c r="E20" s="3">
        <f t="shared" si="2"/>
        <v>9107</v>
      </c>
      <c r="F20" s="144">
        <v>13.108000000000001</v>
      </c>
      <c r="G20" s="65">
        <f t="shared" si="3"/>
        <v>133321.46799999999</v>
      </c>
      <c r="H20" s="5">
        <f>10.133/100</f>
        <v>0.10132999999999999</v>
      </c>
      <c r="I20" s="65">
        <f t="shared" si="5"/>
        <v>492239.35404999997</v>
      </c>
      <c r="J20" s="166">
        <f>0.639/100</f>
        <v>6.3899999999999998E-3</v>
      </c>
      <c r="K20" s="65">
        <f t="shared" si="7"/>
        <v>31041.246149999999</v>
      </c>
      <c r="L20" s="65">
        <f t="shared" si="8"/>
        <v>12190.92</v>
      </c>
      <c r="M20" s="65">
        <f t="shared" si="9"/>
        <v>668792.98819999991</v>
      </c>
      <c r="N20" s="5">
        <f t="shared" si="10"/>
        <v>0.13767447266604016</v>
      </c>
      <c r="O20" s="5"/>
      <c r="P20" s="5"/>
      <c r="Q20" s="5"/>
      <c r="R20" t="b">
        <f t="shared" si="11"/>
        <v>1</v>
      </c>
      <c r="S20" s="147">
        <v>45292</v>
      </c>
      <c r="T20" s="150">
        <v>4857785</v>
      </c>
      <c r="U20" s="164">
        <v>10171</v>
      </c>
      <c r="V20" s="165">
        <v>9107</v>
      </c>
      <c r="W20" s="155">
        <v>133321.46799999999</v>
      </c>
      <c r="X20" s="155">
        <v>523280.60020000004</v>
      </c>
      <c r="Y20" s="155">
        <v>12190.92</v>
      </c>
      <c r="Z20" s="155">
        <v>668792.98820000014</v>
      </c>
    </row>
    <row r="21" spans="2:26" x14ac:dyDescent="0.25">
      <c r="B21" s="147">
        <v>45323</v>
      </c>
      <c r="C21" s="2">
        <f t="shared" si="0"/>
        <v>4423952</v>
      </c>
      <c r="D21" s="11">
        <f t="shared" si="1"/>
        <v>9716</v>
      </c>
      <c r="E21" s="3">
        <f t="shared" si="2"/>
        <v>9716</v>
      </c>
      <c r="F21" s="144">
        <v>13.108000000000001</v>
      </c>
      <c r="G21" s="65">
        <f t="shared" si="3"/>
        <v>127357.32800000001</v>
      </c>
      <c r="H21" s="5">
        <f>10.133/100</f>
        <v>0.10132999999999999</v>
      </c>
      <c r="I21" s="65">
        <f t="shared" si="5"/>
        <v>448279.05615999998</v>
      </c>
      <c r="J21" s="166">
        <f>0.639/100</f>
        <v>6.3899999999999998E-3</v>
      </c>
      <c r="K21" s="65">
        <f t="shared" si="7"/>
        <v>28269.05328</v>
      </c>
      <c r="L21" s="65">
        <f t="shared" si="8"/>
        <v>12190.92</v>
      </c>
      <c r="M21" s="65">
        <f t="shared" si="9"/>
        <v>616096.35743999993</v>
      </c>
      <c r="N21" s="5">
        <f t="shared" si="10"/>
        <v>0.13926379794355814</v>
      </c>
      <c r="O21" s="5"/>
      <c r="P21" s="5"/>
      <c r="Q21" s="5"/>
      <c r="R21" t="b">
        <f t="shared" si="11"/>
        <v>1</v>
      </c>
      <c r="S21" s="147">
        <v>45323</v>
      </c>
      <c r="T21" s="150">
        <v>4423952</v>
      </c>
      <c r="U21" s="164">
        <v>9716</v>
      </c>
      <c r="V21" s="162">
        <v>9716</v>
      </c>
      <c r="W21" s="155">
        <v>127357.32800000001</v>
      </c>
      <c r="X21" s="155">
        <v>476548.10944000003</v>
      </c>
      <c r="Y21" s="155">
        <v>12190.92</v>
      </c>
      <c r="Z21" s="155">
        <v>616096.35744000005</v>
      </c>
    </row>
    <row r="22" spans="2:26" x14ac:dyDescent="0.25">
      <c r="B22" s="147">
        <v>45352</v>
      </c>
      <c r="C22" s="2">
        <f t="shared" si="0"/>
        <v>4100228</v>
      </c>
      <c r="D22" s="11">
        <f t="shared" si="1"/>
        <v>9716</v>
      </c>
      <c r="E22" s="3">
        <f t="shared" si="2"/>
        <v>9177</v>
      </c>
      <c r="F22" s="144">
        <v>13.108000000000001</v>
      </c>
      <c r="G22" s="65">
        <f t="shared" si="3"/>
        <v>127357.32800000001</v>
      </c>
      <c r="H22" s="5">
        <f>10.133/100</f>
        <v>0.10132999999999999</v>
      </c>
      <c r="I22" s="65">
        <f t="shared" si="5"/>
        <v>415476.10323999997</v>
      </c>
      <c r="J22" s="166">
        <f>0.639/100</f>
        <v>6.3899999999999998E-3</v>
      </c>
      <c r="K22" s="65">
        <f t="shared" si="7"/>
        <v>26200.456920000001</v>
      </c>
      <c r="L22" s="65">
        <f t="shared" si="8"/>
        <v>12190.92</v>
      </c>
      <c r="M22" s="65">
        <f t="shared" si="9"/>
        <v>581224.80816000002</v>
      </c>
      <c r="N22" s="5">
        <f t="shared" si="10"/>
        <v>0.14175426541158198</v>
      </c>
      <c r="O22" s="5"/>
      <c r="P22" s="5"/>
      <c r="Q22" s="5"/>
      <c r="R22" t="b">
        <f t="shared" si="11"/>
        <v>1</v>
      </c>
      <c r="S22" s="147">
        <v>45352</v>
      </c>
      <c r="T22" s="150">
        <v>4100228</v>
      </c>
      <c r="U22" s="164">
        <v>9716</v>
      </c>
      <c r="V22" s="162">
        <v>9177</v>
      </c>
      <c r="W22" s="163">
        <v>127357.32800000001</v>
      </c>
      <c r="X22" s="155">
        <v>441676.56016000005</v>
      </c>
      <c r="Y22" s="155">
        <v>12190.92</v>
      </c>
      <c r="Z22" s="163">
        <v>581224.80816000013</v>
      </c>
    </row>
    <row r="23" spans="2:26" ht="15.75" thickBot="1" x14ac:dyDescent="0.3">
      <c r="C23" s="14">
        <f>SUM(C11:C22)</f>
        <v>41901169</v>
      </c>
      <c r="D23" s="14">
        <f>SUM(D11:D22)</f>
        <v>121142</v>
      </c>
      <c r="E23" s="15">
        <f>SUM(E11:E22)</f>
        <v>88865</v>
      </c>
      <c r="F23" s="145"/>
      <c r="G23" s="101">
        <f>SUM(G11:G22)</f>
        <v>1587929.3359999997</v>
      </c>
      <c r="H23" s="101"/>
      <c r="I23" s="101">
        <f>SUM(I11:I22)</f>
        <v>4011417.5978899999</v>
      </c>
      <c r="J23" s="101"/>
      <c r="K23" s="101"/>
      <c r="L23" s="101">
        <f>L22</f>
        <v>12190.92</v>
      </c>
      <c r="M23" s="101">
        <f>SUM(M11:M22)+0.01</f>
        <v>6012245.6856399998</v>
      </c>
      <c r="N23" s="5">
        <f t="shared" si="10"/>
        <v>0.14348634725775788</v>
      </c>
      <c r="O23" s="167"/>
      <c r="P23" s="167"/>
      <c r="Q23" s="167"/>
      <c r="S23" s="146"/>
      <c r="T23" s="161">
        <v>41901169</v>
      </c>
      <c r="U23" s="161">
        <v>121142</v>
      </c>
      <c r="V23" s="161">
        <v>88865</v>
      </c>
      <c r="W23" s="160">
        <v>1587929.3359999997</v>
      </c>
      <c r="X23" s="160">
        <v>4278025.2996399999</v>
      </c>
      <c r="Y23" s="160">
        <v>146291.04</v>
      </c>
      <c r="Z23" s="160">
        <v>6012245.675640001</v>
      </c>
    </row>
    <row r="24" spans="2:26" ht="15.75" thickTop="1" x14ac:dyDescent="0.25">
      <c r="B24" t="s">
        <v>240</v>
      </c>
      <c r="C24" s="2">
        <f>SUM(C12:C19)</f>
        <v>25323780</v>
      </c>
      <c r="D24" s="236">
        <f>C24/C23</f>
        <v>0.60436929575878895</v>
      </c>
      <c r="E24" s="180"/>
      <c r="F24" s="180"/>
      <c r="G24" s="235"/>
      <c r="H24" s="235"/>
      <c r="I24" s="235"/>
      <c r="J24" s="235"/>
      <c r="K24" s="235"/>
      <c r="L24" s="235"/>
      <c r="M24" s="235"/>
      <c r="N24" s="5"/>
      <c r="O24" s="167"/>
      <c r="P24" s="167"/>
      <c r="Q24" s="167"/>
      <c r="S24" s="146"/>
      <c r="T24" s="150"/>
      <c r="U24" s="150"/>
      <c r="V24" s="150"/>
      <c r="W24" s="182"/>
      <c r="X24" s="182"/>
      <c r="Y24" s="182"/>
      <c r="Z24" s="182"/>
    </row>
    <row r="25" spans="2:26" x14ac:dyDescent="0.25">
      <c r="C25" s="2"/>
      <c r="D25" s="3"/>
      <c r="E25" s="3"/>
      <c r="F25" s="3"/>
      <c r="G25" s="143"/>
    </row>
    <row r="26" spans="2:26" ht="15.75" thickBot="1" x14ac:dyDescent="0.3">
      <c r="B26" s="16" t="s">
        <v>115</v>
      </c>
      <c r="C26" s="17"/>
      <c r="D26" s="107" t="s">
        <v>114</v>
      </c>
      <c r="E26" s="116" t="s">
        <v>103</v>
      </c>
      <c r="F26" s="116"/>
      <c r="G26" s="18"/>
      <c r="H26" s="18"/>
      <c r="I26" s="168"/>
      <c r="J26" s="168"/>
      <c r="K26" s="18"/>
      <c r="L26" s="169"/>
      <c r="M26" s="18"/>
    </row>
    <row r="27" spans="2:26" x14ac:dyDescent="0.25">
      <c r="B27" s="19" t="s">
        <v>10</v>
      </c>
      <c r="C27" s="17"/>
      <c r="D27" s="27">
        <v>3400510</v>
      </c>
      <c r="E27" s="117">
        <f>18610334+417482</f>
        <v>19027816</v>
      </c>
      <c r="F27" s="185"/>
      <c r="G27" s="224" t="s">
        <v>223</v>
      </c>
      <c r="H27" s="225" t="s">
        <v>224</v>
      </c>
      <c r="I27" s="225" t="s">
        <v>44</v>
      </c>
      <c r="J27" s="225" t="s">
        <v>225</v>
      </c>
      <c r="K27" s="226" t="s">
        <v>226</v>
      </c>
      <c r="L27" s="169"/>
    </row>
    <row r="28" spans="2:26" ht="15.75" thickBot="1" x14ac:dyDescent="0.3">
      <c r="B28" s="19" t="s">
        <v>11</v>
      </c>
      <c r="C28" s="17"/>
      <c r="D28" s="27">
        <v>174316</v>
      </c>
      <c r="E28" s="117">
        <v>927310</v>
      </c>
      <c r="F28" s="185"/>
      <c r="G28" s="227">
        <v>3400510.37</v>
      </c>
      <c r="H28" s="228">
        <v>174315.55</v>
      </c>
      <c r="I28" s="228">
        <v>2211306.2400000002</v>
      </c>
      <c r="J28" s="228">
        <v>2385621.7899999996</v>
      </c>
      <c r="K28" s="229">
        <v>1268567.5710000002</v>
      </c>
      <c r="L28" s="169"/>
    </row>
    <row r="29" spans="2:26" x14ac:dyDescent="0.25">
      <c r="B29" s="19" t="s">
        <v>12</v>
      </c>
      <c r="C29" s="17"/>
      <c r="D29" s="27">
        <v>2211306</v>
      </c>
      <c r="E29" s="117">
        <f>E32-E31-E30-E28-E27</f>
        <v>12181717</v>
      </c>
      <c r="F29" s="185"/>
      <c r="L29" s="169"/>
    </row>
    <row r="30" spans="2:26" x14ac:dyDescent="0.25">
      <c r="B30" s="19" t="s">
        <v>13</v>
      </c>
      <c r="C30" s="17"/>
      <c r="D30" s="27">
        <v>1268568</v>
      </c>
      <c r="E30" s="117">
        <v>8086119</v>
      </c>
      <c r="F30" s="185"/>
      <c r="G30" s="18"/>
      <c r="H30" s="169"/>
      <c r="I30" s="169"/>
      <c r="J30" s="169"/>
      <c r="K30" s="170"/>
      <c r="L30" s="169"/>
    </row>
    <row r="31" spans="2:26" x14ac:dyDescent="0.25">
      <c r="B31" s="19" t="s">
        <v>14</v>
      </c>
      <c r="C31" s="17"/>
      <c r="D31" s="27">
        <v>133531</v>
      </c>
      <c r="E31" s="185">
        <v>106803</v>
      </c>
      <c r="F31" s="185"/>
      <c r="G31" s="18"/>
      <c r="H31" s="169"/>
      <c r="I31" s="169"/>
      <c r="J31" s="169"/>
      <c r="K31" s="170"/>
      <c r="L31" s="169"/>
    </row>
    <row r="32" spans="2:26" ht="15.75" thickBot="1" x14ac:dyDescent="0.3">
      <c r="B32" s="21"/>
      <c r="C32" s="22"/>
      <c r="D32" s="28">
        <f>SUM(D27:D31)</f>
        <v>7188231</v>
      </c>
      <c r="E32" s="118">
        <v>40329765</v>
      </c>
      <c r="F32" s="187"/>
      <c r="H32" s="94"/>
      <c r="I32" s="94"/>
      <c r="J32" s="94"/>
      <c r="K32" s="171"/>
      <c r="L32" s="94"/>
    </row>
    <row r="33" spans="2:28" ht="15.75" thickTop="1" x14ac:dyDescent="0.25">
      <c r="C33" s="2"/>
      <c r="D33" s="3"/>
      <c r="E33" s="3"/>
      <c r="F33" s="3"/>
      <c r="H33" s="94"/>
      <c r="I33" s="94"/>
      <c r="J33" s="94"/>
      <c r="K33" s="177"/>
    </row>
    <row r="34" spans="2:28" x14ac:dyDescent="0.25">
      <c r="B34" s="12" t="s">
        <v>152</v>
      </c>
      <c r="C34" s="2"/>
      <c r="D34" s="23">
        <f>M23/D32</f>
        <v>0.83640129061517354</v>
      </c>
      <c r="E34" s="3"/>
      <c r="F34" s="3"/>
      <c r="G34" s="24"/>
      <c r="H34" s="172"/>
      <c r="I34" s="94"/>
      <c r="J34" s="94"/>
      <c r="K34" s="177"/>
      <c r="N34" s="21"/>
    </row>
    <row r="35" spans="2:28" x14ac:dyDescent="0.25">
      <c r="B35" s="12" t="s">
        <v>153</v>
      </c>
      <c r="C35" s="2"/>
      <c r="D35" s="173">
        <f>SUM(C11:C19)</f>
        <v>28519204</v>
      </c>
      <c r="E35" s="3"/>
      <c r="F35" s="3"/>
      <c r="G35" s="24"/>
      <c r="H35" s="172"/>
      <c r="I35" s="94"/>
      <c r="J35" s="94"/>
      <c r="K35" s="177"/>
      <c r="N35" s="178"/>
    </row>
    <row r="36" spans="2:28" x14ac:dyDescent="0.25">
      <c r="B36" s="12" t="s">
        <v>154</v>
      </c>
      <c r="C36" s="2"/>
      <c r="D36" s="23">
        <f>D35/C23</f>
        <v>0.68063027072108662</v>
      </c>
      <c r="E36" s="3"/>
      <c r="F36" s="3"/>
      <c r="G36" s="24"/>
      <c r="H36" s="172"/>
      <c r="I36" s="94"/>
      <c r="J36" s="94"/>
      <c r="K36" s="177"/>
      <c r="N36" s="178"/>
    </row>
    <row r="37" spans="2:28" x14ac:dyDescent="0.25">
      <c r="B37" s="12" t="s">
        <v>156</v>
      </c>
      <c r="C37" s="2"/>
      <c r="D37" s="174">
        <f>(C23-E32)/C23</f>
        <v>3.7502629103259626E-2</v>
      </c>
      <c r="E37" s="3"/>
      <c r="F37" s="3"/>
      <c r="G37" s="24"/>
      <c r="H37" s="172"/>
      <c r="I37" s="94"/>
      <c r="J37" s="94"/>
      <c r="K37" s="177"/>
      <c r="N37" s="176"/>
      <c r="O37" s="179"/>
      <c r="P37" s="179"/>
      <c r="Q37" s="179"/>
    </row>
    <row r="38" spans="2:28" x14ac:dyDescent="0.25">
      <c r="C38" s="2"/>
      <c r="D38" s="3"/>
      <c r="E38" s="3"/>
      <c r="F38" s="3"/>
      <c r="H38" s="94"/>
      <c r="I38" s="94"/>
      <c r="J38" s="94"/>
      <c r="K38" s="171"/>
      <c r="L38" s="94"/>
    </row>
    <row r="39" spans="2:28" ht="15.75" x14ac:dyDescent="0.25">
      <c r="B39" s="104" t="s">
        <v>155</v>
      </c>
      <c r="C39" s="2"/>
      <c r="D39" s="3"/>
      <c r="E39" s="3"/>
      <c r="F39" s="3"/>
      <c r="H39" s="178" t="s">
        <v>160</v>
      </c>
      <c r="L39" s="94"/>
    </row>
    <row r="40" spans="2:28" x14ac:dyDescent="0.25">
      <c r="B40" s="4"/>
      <c r="C40" s="2"/>
      <c r="D40" s="3"/>
      <c r="E40" s="3"/>
      <c r="F40" s="3"/>
      <c r="G40" t="s">
        <v>161</v>
      </c>
      <c r="H40" s="177" t="s">
        <v>158</v>
      </c>
      <c r="I40">
        <v>13.108000000000001</v>
      </c>
      <c r="J40">
        <v>0.10868</v>
      </c>
      <c r="K40" s="178" t="s">
        <v>157</v>
      </c>
    </row>
    <row r="41" spans="2:28" x14ac:dyDescent="0.25">
      <c r="B41" s="1" t="s">
        <v>1</v>
      </c>
      <c r="C41" s="2"/>
      <c r="D41" s="3"/>
      <c r="E41" s="3"/>
      <c r="F41" s="3"/>
      <c r="G41" t="s">
        <v>161</v>
      </c>
      <c r="H41" s="177" t="s">
        <v>159</v>
      </c>
      <c r="I41">
        <v>13.108000000000001</v>
      </c>
      <c r="J41">
        <v>0.11286</v>
      </c>
      <c r="K41" s="176" t="s">
        <v>157</v>
      </c>
      <c r="L41" s="179"/>
      <c r="M41" s="179"/>
      <c r="N41" s="179"/>
    </row>
    <row r="42" spans="2:28" x14ac:dyDescent="0.25">
      <c r="B42" s="1"/>
      <c r="C42" s="2"/>
      <c r="D42" s="3"/>
      <c r="E42" s="3"/>
      <c r="F42" s="3"/>
      <c r="H42" s="177"/>
      <c r="K42" s="108"/>
      <c r="L42" s="108">
        <v>5.2300000000000003E-3</v>
      </c>
      <c r="M42" s="179"/>
      <c r="N42" s="179"/>
    </row>
    <row r="43" spans="2:28" x14ac:dyDescent="0.25">
      <c r="B43" s="1"/>
      <c r="C43" s="2"/>
      <c r="D43" s="3"/>
      <c r="E43" s="6"/>
      <c r="F43" s="6"/>
      <c r="H43" s="94"/>
      <c r="I43" s="94"/>
      <c r="J43" s="94"/>
      <c r="K43" s="171"/>
      <c r="L43" s="108">
        <f>0.105/100</f>
        <v>1.0499999999999999E-3</v>
      </c>
    </row>
    <row r="44" spans="2:28" x14ac:dyDescent="0.25">
      <c r="C44" s="97" t="s">
        <v>2</v>
      </c>
      <c r="D44" s="98" t="s">
        <v>3</v>
      </c>
      <c r="E44" s="98" t="s">
        <v>4</v>
      </c>
      <c r="F44" s="98" t="s">
        <v>5</v>
      </c>
      <c r="G44" s="7" t="s">
        <v>5</v>
      </c>
      <c r="H44" s="7" t="s">
        <v>43</v>
      </c>
      <c r="I44" s="7" t="s">
        <v>147</v>
      </c>
      <c r="J44" s="7" t="s">
        <v>150</v>
      </c>
      <c r="K44" s="7" t="s">
        <v>149</v>
      </c>
      <c r="L44" s="7" t="s">
        <v>144</v>
      </c>
      <c r="M44" s="7" t="s">
        <v>7</v>
      </c>
      <c r="N44" s="7" t="s">
        <v>8</v>
      </c>
      <c r="O44" s="7"/>
      <c r="Q44" s="2"/>
      <c r="R44" s="189"/>
      <c r="S44" s="189"/>
    </row>
    <row r="45" spans="2:28" x14ac:dyDescent="0.25">
      <c r="B45" s="8"/>
      <c r="C45" s="99"/>
      <c r="D45" s="100" t="s">
        <v>5</v>
      </c>
      <c r="E45" s="100" t="s">
        <v>5</v>
      </c>
      <c r="F45" s="100" t="s">
        <v>146</v>
      </c>
      <c r="G45" s="9" t="s">
        <v>8</v>
      </c>
      <c r="H45" s="9"/>
      <c r="I45" s="9" t="s">
        <v>148</v>
      </c>
      <c r="J45" s="9"/>
      <c r="K45" s="9"/>
      <c r="L45" s="9"/>
      <c r="M45" s="9" t="s">
        <v>8</v>
      </c>
      <c r="N45" s="9" t="s">
        <v>109</v>
      </c>
      <c r="O45" s="7"/>
      <c r="Q45" s="2"/>
      <c r="R45" s="189"/>
      <c r="S45" s="189"/>
    </row>
    <row r="46" spans="2:28" x14ac:dyDescent="0.25">
      <c r="B46" s="10">
        <v>45412</v>
      </c>
      <c r="C46" s="2">
        <v>3282081</v>
      </c>
      <c r="D46" s="159">
        <v>9898</v>
      </c>
      <c r="E46" s="154">
        <v>9898</v>
      </c>
      <c r="F46">
        <v>13.108000000000001</v>
      </c>
      <c r="G46" s="29">
        <f>F46*D46</f>
        <v>129742.98400000001</v>
      </c>
      <c r="H46" s="5">
        <f>(10.133)/100</f>
        <v>0.10132999999999999</v>
      </c>
      <c r="I46" s="29">
        <f>C46*H46</f>
        <v>332573.26772999996</v>
      </c>
      <c r="J46" s="5">
        <f>0.639/100</f>
        <v>6.3899999999999998E-3</v>
      </c>
      <c r="K46" s="29">
        <f>J46*C46</f>
        <v>20972.497589999999</v>
      </c>
      <c r="L46" s="29">
        <f>$L$43*C46</f>
        <v>3446.1850499999996</v>
      </c>
      <c r="M46" s="29">
        <f>L46+K46+I46+G46-1837</f>
        <v>484897.93436999997</v>
      </c>
      <c r="N46" s="5">
        <f>M46/C46</f>
        <v>0.14774100162975867</v>
      </c>
      <c r="O46" s="5"/>
      <c r="P46" s="193"/>
      <c r="Q46" s="2"/>
      <c r="R46" s="192"/>
      <c r="S46" s="189"/>
      <c r="T46" s="94"/>
      <c r="U46" s="94"/>
      <c r="V46" s="143"/>
      <c r="W46" s="94"/>
      <c r="Z46" s="94"/>
      <c r="AA46" s="94"/>
      <c r="AB46" s="78"/>
    </row>
    <row r="47" spans="2:28" x14ac:dyDescent="0.25">
      <c r="B47" s="10">
        <v>45443</v>
      </c>
      <c r="C47" s="2">
        <v>2873351</v>
      </c>
      <c r="D47" s="159">
        <v>9716</v>
      </c>
      <c r="E47" s="154">
        <v>5866</v>
      </c>
      <c r="F47">
        <v>13.108000000000001</v>
      </c>
      <c r="G47" s="29">
        <f t="shared" ref="G47:G57" si="12">F47*D47</f>
        <v>127357.32800000001</v>
      </c>
      <c r="H47" s="5">
        <f>(10.133)/100</f>
        <v>0.10132999999999999</v>
      </c>
      <c r="I47" s="29">
        <f>C47*H47</f>
        <v>291156.65682999999</v>
      </c>
      <c r="J47" s="5">
        <f>0.639/100</f>
        <v>6.3899999999999998E-3</v>
      </c>
      <c r="K47" s="29">
        <f>J47*C47</f>
        <v>18360.712889999999</v>
      </c>
      <c r="L47" s="29">
        <f>$L$43*C47</f>
        <v>3017.0185499999998</v>
      </c>
      <c r="M47" s="29">
        <f t="shared" ref="M47:M57" si="13">L47+K47+I47+G47</f>
        <v>439891.71626999998</v>
      </c>
      <c r="N47" s="5">
        <f t="shared" ref="N47:N59" si="14">M47/C47</f>
        <v>0.15309362353224509</v>
      </c>
      <c r="O47" s="5"/>
      <c r="P47" s="193"/>
      <c r="Q47" s="2"/>
      <c r="R47" s="192"/>
      <c r="S47" s="189"/>
      <c r="T47" s="94"/>
      <c r="U47" s="94"/>
      <c r="V47" s="143"/>
      <c r="W47" s="94"/>
      <c r="Z47" s="94"/>
      <c r="AA47" s="94"/>
      <c r="AB47" s="78"/>
    </row>
    <row r="48" spans="2:28" x14ac:dyDescent="0.25">
      <c r="B48" s="10">
        <v>45473</v>
      </c>
      <c r="C48" s="2">
        <v>2613312</v>
      </c>
      <c r="D48" s="159">
        <v>9716</v>
      </c>
      <c r="E48" s="154">
        <v>5901</v>
      </c>
      <c r="F48">
        <v>13.108000000000001</v>
      </c>
      <c r="G48" s="29">
        <f t="shared" si="12"/>
        <v>127357.32800000001</v>
      </c>
      <c r="H48" s="5">
        <f t="shared" ref="H48:H54" si="15">(10.133)/100</f>
        <v>0.10132999999999999</v>
      </c>
      <c r="I48" s="29">
        <f t="shared" ref="I48:I54" si="16">C48*H48</f>
        <v>264806.90495999996</v>
      </c>
      <c r="J48" s="5">
        <f t="shared" ref="J48:J54" si="17">0.639/100</f>
        <v>6.3899999999999998E-3</v>
      </c>
      <c r="K48" s="29">
        <f t="shared" ref="K48:K54" si="18">J48*C48</f>
        <v>16699.063679999999</v>
      </c>
      <c r="L48" s="29">
        <f t="shared" ref="L48:L54" si="19">$L$43*C48</f>
        <v>2743.9775999999997</v>
      </c>
      <c r="M48" s="29">
        <f t="shared" si="13"/>
        <v>411607.27423999994</v>
      </c>
      <c r="N48" s="5">
        <f t="shared" si="14"/>
        <v>0.15750406925770821</v>
      </c>
      <c r="O48" s="5"/>
      <c r="P48" s="193"/>
      <c r="Q48" s="2"/>
      <c r="R48" s="192"/>
      <c r="S48" s="189"/>
      <c r="T48" s="94"/>
      <c r="U48" s="94"/>
      <c r="V48" s="143"/>
      <c r="W48" s="94"/>
      <c r="Z48" s="94"/>
      <c r="AA48" s="94"/>
      <c r="AB48" s="78"/>
    </row>
    <row r="49" spans="2:28" x14ac:dyDescent="0.25">
      <c r="B49" s="10">
        <v>45474</v>
      </c>
      <c r="C49" s="2">
        <v>2878715</v>
      </c>
      <c r="D49" s="159">
        <v>9716</v>
      </c>
      <c r="E49" s="158">
        <v>6062</v>
      </c>
      <c r="F49">
        <v>13.108000000000001</v>
      </c>
      <c r="G49" s="29">
        <f t="shared" si="12"/>
        <v>127357.32800000001</v>
      </c>
      <c r="H49" s="5">
        <f t="shared" si="15"/>
        <v>0.10132999999999999</v>
      </c>
      <c r="I49" s="29">
        <f t="shared" si="16"/>
        <v>291700.19094999996</v>
      </c>
      <c r="J49" s="5">
        <f t="shared" si="17"/>
        <v>6.3899999999999998E-3</v>
      </c>
      <c r="K49" s="29">
        <f t="shared" si="18"/>
        <v>18394.988849999998</v>
      </c>
      <c r="L49" s="29">
        <f t="shared" si="19"/>
        <v>3022.6507499999998</v>
      </c>
      <c r="M49" s="29">
        <f t="shared" si="13"/>
        <v>440475.15854999993</v>
      </c>
      <c r="N49" s="5">
        <f t="shared" si="14"/>
        <v>0.15301103393354323</v>
      </c>
      <c r="O49" s="5"/>
      <c r="P49" s="193"/>
      <c r="Q49" s="2"/>
      <c r="R49" s="192"/>
      <c r="S49" s="189"/>
      <c r="T49" s="94"/>
      <c r="U49" s="94"/>
      <c r="V49" s="143"/>
      <c r="W49" s="94"/>
      <c r="Z49" s="94"/>
      <c r="AA49" s="94"/>
      <c r="AB49" s="78"/>
    </row>
    <row r="50" spans="2:28" x14ac:dyDescent="0.25">
      <c r="B50" s="10">
        <v>45505</v>
      </c>
      <c r="C50" s="2">
        <v>2891232</v>
      </c>
      <c r="D50" s="159">
        <v>9716</v>
      </c>
      <c r="E50" s="154">
        <v>5971</v>
      </c>
      <c r="F50">
        <v>13.108000000000001</v>
      </c>
      <c r="G50" s="29">
        <f t="shared" si="12"/>
        <v>127357.32800000001</v>
      </c>
      <c r="H50" s="5">
        <f t="shared" si="15"/>
        <v>0.10132999999999999</v>
      </c>
      <c r="I50" s="29">
        <f t="shared" si="16"/>
        <v>292968.53855999996</v>
      </c>
      <c r="J50" s="5">
        <f t="shared" si="17"/>
        <v>6.3899999999999998E-3</v>
      </c>
      <c r="K50" s="29">
        <f t="shared" si="18"/>
        <v>18474.97248</v>
      </c>
      <c r="L50" s="29">
        <f t="shared" si="19"/>
        <v>3035.7936</v>
      </c>
      <c r="M50" s="29">
        <f t="shared" si="13"/>
        <v>441836.63263999997</v>
      </c>
      <c r="N50" s="5">
        <f t="shared" si="14"/>
        <v>0.15281950138902722</v>
      </c>
      <c r="O50" s="5"/>
      <c r="P50" s="193"/>
      <c r="Q50" s="2"/>
      <c r="R50" s="192"/>
      <c r="S50" s="189"/>
      <c r="T50" s="94"/>
      <c r="U50" s="94"/>
      <c r="V50" s="143"/>
      <c r="W50" s="94"/>
      <c r="Z50" s="94"/>
      <c r="AA50" s="94"/>
      <c r="AB50" s="78"/>
    </row>
    <row r="51" spans="2:28" x14ac:dyDescent="0.25">
      <c r="B51" s="10">
        <v>45536</v>
      </c>
      <c r="C51" s="2">
        <v>2599725</v>
      </c>
      <c r="D51" s="159">
        <v>9716</v>
      </c>
      <c r="E51" s="154">
        <v>5327</v>
      </c>
      <c r="F51">
        <v>13.108000000000001</v>
      </c>
      <c r="G51" s="29">
        <f t="shared" si="12"/>
        <v>127357.32800000001</v>
      </c>
      <c r="H51" s="5">
        <f t="shared" si="15"/>
        <v>0.10132999999999999</v>
      </c>
      <c r="I51" s="29">
        <f t="shared" si="16"/>
        <v>263430.13424999994</v>
      </c>
      <c r="J51" s="5">
        <f t="shared" si="17"/>
        <v>6.3899999999999998E-3</v>
      </c>
      <c r="K51" s="29">
        <f t="shared" si="18"/>
        <v>16612.242750000001</v>
      </c>
      <c r="L51" s="29">
        <f t="shared" si="19"/>
        <v>2729.7112499999998</v>
      </c>
      <c r="M51" s="29">
        <f t="shared" si="13"/>
        <v>410129.41625000001</v>
      </c>
      <c r="N51" s="5">
        <f t="shared" si="14"/>
        <v>0.15775876919674198</v>
      </c>
      <c r="O51" s="5"/>
      <c r="P51" s="193"/>
      <c r="Q51" s="2"/>
      <c r="R51" s="192"/>
      <c r="S51" s="189"/>
      <c r="T51" s="94"/>
      <c r="U51" s="94"/>
      <c r="V51" s="143"/>
      <c r="W51" s="94"/>
      <c r="Z51" s="94"/>
      <c r="AA51" s="94"/>
      <c r="AB51" s="78"/>
    </row>
    <row r="52" spans="2:28" x14ac:dyDescent="0.25">
      <c r="B52" s="10">
        <v>45566</v>
      </c>
      <c r="C52" s="2">
        <v>2892706</v>
      </c>
      <c r="D52" s="159">
        <v>9716</v>
      </c>
      <c r="E52" s="154">
        <v>6419</v>
      </c>
      <c r="F52">
        <v>13.108000000000001</v>
      </c>
      <c r="G52" s="29">
        <f t="shared" si="12"/>
        <v>127357.32800000001</v>
      </c>
      <c r="H52" s="5">
        <f t="shared" si="15"/>
        <v>0.10132999999999999</v>
      </c>
      <c r="I52" s="29">
        <f t="shared" si="16"/>
        <v>293117.89898</v>
      </c>
      <c r="J52" s="5">
        <f t="shared" si="17"/>
        <v>6.3899999999999998E-3</v>
      </c>
      <c r="K52" s="29">
        <f t="shared" si="18"/>
        <v>18484.391339999998</v>
      </c>
      <c r="L52" s="29">
        <f t="shared" si="19"/>
        <v>3037.3412999999996</v>
      </c>
      <c r="M52" s="29">
        <f t="shared" si="13"/>
        <v>441996.95961999998</v>
      </c>
      <c r="N52" s="5">
        <f t="shared" si="14"/>
        <v>0.15279705563579568</v>
      </c>
      <c r="O52" s="5"/>
      <c r="P52" s="193"/>
      <c r="Q52" s="2"/>
      <c r="R52" s="192"/>
      <c r="S52" s="189"/>
      <c r="T52" s="94"/>
      <c r="U52" s="94"/>
      <c r="V52" s="143"/>
      <c r="W52" s="94"/>
      <c r="Z52" s="94"/>
      <c r="AA52" s="94"/>
      <c r="AB52" s="78"/>
    </row>
    <row r="53" spans="2:28" x14ac:dyDescent="0.25">
      <c r="B53" s="10">
        <v>45597</v>
      </c>
      <c r="C53" s="2">
        <v>3357586</v>
      </c>
      <c r="D53" s="159">
        <v>9716</v>
      </c>
      <c r="E53" s="154">
        <v>6895</v>
      </c>
      <c r="F53">
        <v>13.108000000000001</v>
      </c>
      <c r="G53" s="29">
        <f t="shared" si="12"/>
        <v>127357.32800000001</v>
      </c>
      <c r="H53" s="5">
        <f t="shared" si="15"/>
        <v>0.10132999999999999</v>
      </c>
      <c r="I53" s="29">
        <f t="shared" si="16"/>
        <v>340224.18937999994</v>
      </c>
      <c r="J53" s="5">
        <f t="shared" si="17"/>
        <v>6.3899999999999998E-3</v>
      </c>
      <c r="K53" s="29">
        <f t="shared" si="18"/>
        <v>21454.974539999999</v>
      </c>
      <c r="L53" s="29">
        <f t="shared" si="19"/>
        <v>3525.4652999999998</v>
      </c>
      <c r="M53" s="29">
        <f t="shared" si="13"/>
        <v>492561.95721999998</v>
      </c>
      <c r="N53" s="5">
        <f t="shared" si="14"/>
        <v>0.14670121844086792</v>
      </c>
      <c r="O53" s="5"/>
      <c r="P53" s="193"/>
      <c r="Q53" s="2"/>
      <c r="R53" s="192"/>
      <c r="S53" s="189"/>
      <c r="T53" s="94"/>
      <c r="U53" s="94"/>
      <c r="V53" s="143"/>
      <c r="W53" s="94"/>
      <c r="Z53" s="94"/>
      <c r="AA53" s="94"/>
      <c r="AB53" s="78"/>
    </row>
    <row r="54" spans="2:28" x14ac:dyDescent="0.25">
      <c r="B54" s="10">
        <v>45627</v>
      </c>
      <c r="C54" s="2">
        <v>4418120</v>
      </c>
      <c r="D54" s="164">
        <v>9716</v>
      </c>
      <c r="E54" s="165">
        <v>8785</v>
      </c>
      <c r="F54">
        <v>13.108000000000001</v>
      </c>
      <c r="G54" s="29">
        <f t="shared" si="12"/>
        <v>127357.32800000001</v>
      </c>
      <c r="H54" s="5">
        <f t="shared" si="15"/>
        <v>0.10132999999999999</v>
      </c>
      <c r="I54" s="29">
        <f t="shared" si="16"/>
        <v>447688.09959999996</v>
      </c>
      <c r="J54" s="5">
        <f t="shared" si="17"/>
        <v>6.3899999999999998E-3</v>
      </c>
      <c r="K54" s="29">
        <f t="shared" si="18"/>
        <v>28231.786799999998</v>
      </c>
      <c r="L54" s="29">
        <f t="shared" si="19"/>
        <v>4639.0259999999998</v>
      </c>
      <c r="M54" s="29">
        <f t="shared" si="13"/>
        <v>607916.24040000001</v>
      </c>
      <c r="N54" s="5">
        <f t="shared" si="14"/>
        <v>0.13759613600354903</v>
      </c>
      <c r="O54" s="5"/>
      <c r="P54" s="193"/>
      <c r="Q54" s="2"/>
      <c r="R54" s="192"/>
      <c r="S54" s="189"/>
      <c r="T54" s="94"/>
      <c r="U54" s="94"/>
      <c r="V54" s="143"/>
      <c r="W54" s="94"/>
      <c r="Z54" s="94"/>
      <c r="AA54" s="94"/>
      <c r="AB54" s="78"/>
    </row>
    <row r="55" spans="2:28" x14ac:dyDescent="0.25">
      <c r="B55" s="10">
        <v>45688</v>
      </c>
      <c r="C55" s="2">
        <v>5081274</v>
      </c>
      <c r="D55" s="175">
        <v>9989</v>
      </c>
      <c r="E55" s="165">
        <v>9989</v>
      </c>
      <c r="F55">
        <v>13.108000000000001</v>
      </c>
      <c r="G55" s="29">
        <f t="shared" si="12"/>
        <v>130935.81200000001</v>
      </c>
      <c r="H55" s="5">
        <f>(10.133+0.002)/100</f>
        <v>0.10135</v>
      </c>
      <c r="I55" s="29">
        <f>C55*H55</f>
        <v>514987.11989999999</v>
      </c>
      <c r="J55" s="5">
        <f>0.628/100</f>
        <v>6.28E-3</v>
      </c>
      <c r="K55" s="29">
        <f>J55*C55</f>
        <v>31910.400720000001</v>
      </c>
      <c r="L55" s="29">
        <f>$L$43*C55</f>
        <v>5335.3377</v>
      </c>
      <c r="M55" s="29">
        <f t="shared" si="13"/>
        <v>683168.67032000003</v>
      </c>
      <c r="N55" s="5">
        <f t="shared" si="14"/>
        <v>0.13444830377578537</v>
      </c>
      <c r="O55" s="5"/>
      <c r="P55" s="193"/>
      <c r="Q55" s="2"/>
      <c r="R55" s="192"/>
      <c r="S55" s="189"/>
      <c r="T55" s="94"/>
      <c r="U55" s="94"/>
      <c r="V55" s="143"/>
      <c r="W55" s="94"/>
      <c r="Z55" s="94"/>
      <c r="AA55" s="94"/>
      <c r="AB55" s="78"/>
    </row>
    <row r="56" spans="2:28" x14ac:dyDescent="0.25">
      <c r="B56" s="10">
        <v>45716</v>
      </c>
      <c r="C56" s="2">
        <v>4737824</v>
      </c>
      <c r="D56" s="164">
        <v>10423</v>
      </c>
      <c r="E56" s="162">
        <v>10423</v>
      </c>
      <c r="F56">
        <v>13.108000000000001</v>
      </c>
      <c r="G56" s="29">
        <f t="shared" si="12"/>
        <v>136624.68400000001</v>
      </c>
      <c r="H56" s="5">
        <f>(10.133+0.002)/100</f>
        <v>0.10135</v>
      </c>
      <c r="I56" s="29">
        <f>C56*H56</f>
        <v>480178.46239999996</v>
      </c>
      <c r="J56" s="5">
        <f>0.628/100</f>
        <v>6.28E-3</v>
      </c>
      <c r="K56" s="29">
        <f>J56*C56</f>
        <v>29753.53472</v>
      </c>
      <c r="L56" s="29">
        <f>$L$43*C56+7780</f>
        <v>12754.715199999999</v>
      </c>
      <c r="M56" s="29">
        <f t="shared" si="13"/>
        <v>659311.39631999994</v>
      </c>
      <c r="N56" s="5">
        <f t="shared" si="14"/>
        <v>0.13915911530694258</v>
      </c>
      <c r="O56" s="105"/>
      <c r="P56" s="193"/>
      <c r="Q56" s="2"/>
      <c r="R56" s="192"/>
      <c r="S56" s="189"/>
      <c r="T56" s="94"/>
      <c r="U56" s="94"/>
      <c r="V56" s="143"/>
      <c r="W56" s="94"/>
      <c r="Z56" s="94"/>
      <c r="AA56" s="94"/>
      <c r="AB56" s="78"/>
    </row>
    <row r="57" spans="2:28" x14ac:dyDescent="0.25">
      <c r="B57" s="10">
        <v>45747</v>
      </c>
      <c r="C57" s="2">
        <v>4239438</v>
      </c>
      <c r="D57" s="164">
        <v>10423</v>
      </c>
      <c r="E57" s="162">
        <v>9121</v>
      </c>
      <c r="F57">
        <v>13.108000000000001</v>
      </c>
      <c r="G57" s="29">
        <f t="shared" si="12"/>
        <v>136624.68400000001</v>
      </c>
      <c r="H57" s="5">
        <f>(10.133+0.002)/100</f>
        <v>0.10135</v>
      </c>
      <c r="I57" s="29">
        <f>C57*H57</f>
        <v>429667.04129999998</v>
      </c>
      <c r="J57" s="5">
        <f>0.628/100</f>
        <v>6.28E-3</v>
      </c>
      <c r="K57" s="29">
        <f>J57*C57</f>
        <v>26623.67064</v>
      </c>
      <c r="L57" s="29">
        <f>$L$42*C57</f>
        <v>22172.260740000002</v>
      </c>
      <c r="M57" s="29">
        <f t="shared" si="13"/>
        <v>615087.65668000001</v>
      </c>
      <c r="N57" s="5">
        <f t="shared" si="14"/>
        <v>0.14508707443769669</v>
      </c>
      <c r="O57" s="106"/>
      <c r="P57" s="193"/>
      <c r="Q57" s="2"/>
      <c r="R57" s="192"/>
      <c r="S57" s="189"/>
      <c r="T57" s="94"/>
      <c r="U57" s="94"/>
      <c r="V57" s="143"/>
      <c r="W57" s="94"/>
      <c r="Z57" s="94"/>
      <c r="AA57" s="94"/>
      <c r="AB57" s="78"/>
    </row>
    <row r="58" spans="2:28" ht="15.75" thickBot="1" x14ac:dyDescent="0.3">
      <c r="C58" s="14">
        <f>SUM(C46:C57)</f>
        <v>41865364</v>
      </c>
      <c r="D58" s="14">
        <f>SUM(D46:D57)</f>
        <v>118461</v>
      </c>
      <c r="E58" s="15">
        <f>SUM(E46:E57)</f>
        <v>90657</v>
      </c>
      <c r="F58" s="145"/>
      <c r="G58" s="30">
        <f>SUM(G46:G57)</f>
        <v>1552786.7879999997</v>
      </c>
      <c r="H58" s="30"/>
      <c r="I58" s="30">
        <f>SUM(I46:I57)+0.01</f>
        <v>4242498.5148399994</v>
      </c>
      <c r="J58" s="30"/>
      <c r="K58" s="30">
        <f>SUM(K46:K57)+0.01</f>
        <v>265973.24700000003</v>
      </c>
      <c r="L58" s="30">
        <f>SUM(L46:L57)+0.01</f>
        <v>69459.493040000001</v>
      </c>
      <c r="M58" s="30">
        <f>SUM(M46:M57)+0.01</f>
        <v>6128881.0228800001</v>
      </c>
      <c r="N58" s="102">
        <f t="shared" si="14"/>
        <v>0.14639502532164775</v>
      </c>
      <c r="O58" s="5"/>
      <c r="Q58" s="2"/>
      <c r="R58" s="2"/>
      <c r="S58" s="2"/>
      <c r="T58" s="143"/>
      <c r="U58" s="143"/>
      <c r="V58" s="143"/>
      <c r="W58" s="94"/>
      <c r="Z58" s="143"/>
      <c r="AA58" s="143"/>
      <c r="AB58" s="78"/>
    </row>
    <row r="59" spans="2:28" ht="15.75" thickTop="1" x14ac:dyDescent="0.25">
      <c r="B59" t="s">
        <v>240</v>
      </c>
      <c r="C59" s="14">
        <f>SUM(C47:C54)</f>
        <v>24524747</v>
      </c>
      <c r="D59" s="206">
        <f>C59/C58</f>
        <v>0.58580040054112514</v>
      </c>
      <c r="E59" s="180"/>
      <c r="F59" s="180"/>
      <c r="G59" s="181">
        <f>T58</f>
        <v>0</v>
      </c>
      <c r="H59" s="181"/>
      <c r="I59" s="181"/>
      <c r="J59" s="181"/>
      <c r="K59" s="181"/>
      <c r="L59" s="181"/>
      <c r="M59" s="181">
        <f>AA58</f>
        <v>0</v>
      </c>
      <c r="N59" s="5">
        <f t="shared" si="14"/>
        <v>0</v>
      </c>
      <c r="O59" s="5"/>
      <c r="Q59" s="143"/>
      <c r="R59" s="2"/>
      <c r="S59" s="2"/>
      <c r="T59" s="182"/>
      <c r="U59" s="182"/>
      <c r="V59" s="182"/>
      <c r="W59" s="182"/>
      <c r="X59" s="183"/>
    </row>
    <row r="60" spans="2:28" x14ac:dyDescent="0.25">
      <c r="C60" s="3"/>
      <c r="D60" s="3"/>
      <c r="E60" s="3"/>
      <c r="F60" s="3"/>
      <c r="G60" s="143"/>
    </row>
    <row r="61" spans="2:28" x14ac:dyDescent="0.25">
      <c r="B61" s="16" t="s">
        <v>113</v>
      </c>
      <c r="C61" s="17"/>
      <c r="D61" s="107" t="s">
        <v>114</v>
      </c>
      <c r="E61" s="116" t="s">
        <v>103</v>
      </c>
      <c r="F61" s="116"/>
      <c r="G61" s="18"/>
      <c r="H61" s="18"/>
      <c r="I61" s="18"/>
      <c r="J61" s="18"/>
      <c r="K61" s="18"/>
      <c r="L61" s="18"/>
      <c r="M61" s="18"/>
    </row>
    <row r="62" spans="2:28" x14ac:dyDescent="0.25">
      <c r="B62" s="19" t="s">
        <v>10</v>
      </c>
      <c r="C62" s="17"/>
      <c r="D62" s="184">
        <v>3543026.4</v>
      </c>
      <c r="E62" s="117">
        <v>19434762</v>
      </c>
      <c r="F62" s="185"/>
      <c r="G62" s="18"/>
      <c r="H62" s="18"/>
      <c r="I62" s="221" t="s">
        <v>223</v>
      </c>
      <c r="J62" s="222" t="s">
        <v>224</v>
      </c>
      <c r="K62" s="222" t="s">
        <v>44</v>
      </c>
      <c r="L62" s="222" t="s">
        <v>225</v>
      </c>
      <c r="M62" s="223" t="s">
        <v>226</v>
      </c>
    </row>
    <row r="63" spans="2:28" ht="15.75" thickBot="1" x14ac:dyDescent="0.3">
      <c r="B63" s="19" t="s">
        <v>11</v>
      </c>
      <c r="C63" s="17"/>
      <c r="D63" s="2">
        <v>152021.13</v>
      </c>
      <c r="E63" s="185">
        <v>793631</v>
      </c>
      <c r="F63" s="185"/>
      <c r="G63" s="18"/>
      <c r="H63" s="18"/>
      <c r="I63" s="230">
        <v>3543026.4</v>
      </c>
      <c r="J63" s="230">
        <v>152021.13</v>
      </c>
      <c r="K63" s="230">
        <v>2223325.13</v>
      </c>
      <c r="L63" s="230">
        <v>2375346.2600000002</v>
      </c>
      <c r="M63" s="230">
        <v>1173442.5600000001</v>
      </c>
    </row>
    <row r="64" spans="2:28" ht="15.75" thickTop="1" x14ac:dyDescent="0.25">
      <c r="B64" s="19" t="s">
        <v>12</v>
      </c>
      <c r="C64" s="17"/>
      <c r="D64" s="2">
        <v>2223325.13</v>
      </c>
      <c r="E64" s="185">
        <v>11975447</v>
      </c>
      <c r="F64" s="185"/>
      <c r="G64" s="18"/>
      <c r="H64" s="18"/>
      <c r="I64" s="18"/>
      <c r="J64" s="18"/>
      <c r="K64" s="18"/>
      <c r="L64" s="18"/>
    </row>
    <row r="65" spans="2:24" x14ac:dyDescent="0.25">
      <c r="B65" s="19" t="s">
        <v>13</v>
      </c>
      <c r="C65" s="17"/>
      <c r="D65" s="2">
        <v>1173442.5600000001</v>
      </c>
      <c r="E65" s="117">
        <v>7598865</v>
      </c>
      <c r="F65" s="185"/>
      <c r="G65" s="18"/>
      <c r="H65" s="18"/>
      <c r="I65" s="18"/>
      <c r="J65" s="18"/>
      <c r="K65" s="18"/>
      <c r="L65" s="18"/>
    </row>
    <row r="66" spans="2:24" x14ac:dyDescent="0.25">
      <c r="B66" s="19" t="s">
        <v>14</v>
      </c>
      <c r="C66" s="17"/>
      <c r="D66" s="204">
        <v>150135</v>
      </c>
      <c r="E66" s="185">
        <v>106803</v>
      </c>
      <c r="F66" s="185" t="s">
        <v>174</v>
      </c>
      <c r="G66" s="18"/>
      <c r="H66" s="18"/>
      <c r="I66" s="18"/>
      <c r="J66" s="18"/>
      <c r="K66" s="18"/>
      <c r="L66" s="18"/>
    </row>
    <row r="67" spans="2:24" ht="15.75" thickBot="1" x14ac:dyDescent="0.3">
      <c r="B67" s="21"/>
      <c r="C67" s="22"/>
      <c r="D67" s="118">
        <f>SUM(D62:D66)</f>
        <v>7241950.2200000007</v>
      </c>
      <c r="E67" s="118">
        <f>SUM(E62:E66)</f>
        <v>39909508</v>
      </c>
      <c r="F67" s="187"/>
      <c r="G67" s="18"/>
      <c r="H67" s="18"/>
      <c r="I67" s="18"/>
      <c r="J67" s="18"/>
      <c r="K67" s="18"/>
    </row>
    <row r="68" spans="2:24" ht="15.75" thickTop="1" x14ac:dyDescent="0.25">
      <c r="C68" s="2"/>
      <c r="D68" s="3"/>
      <c r="E68" s="3"/>
      <c r="F68" s="188"/>
      <c r="G68" s="18"/>
      <c r="H68" s="18"/>
      <c r="I68" s="18"/>
      <c r="J68" s="18"/>
      <c r="K68" s="18"/>
    </row>
    <row r="69" spans="2:24" x14ac:dyDescent="0.25">
      <c r="B69" s="12" t="s">
        <v>152</v>
      </c>
      <c r="C69" s="2"/>
      <c r="D69" s="186">
        <f>M58/D67</f>
        <v>0.84630256169863582</v>
      </c>
      <c r="E69" s="3"/>
      <c r="F69" s="3"/>
      <c r="G69" s="18"/>
      <c r="H69" s="18"/>
      <c r="I69" s="18"/>
      <c r="J69" s="18"/>
      <c r="K69" s="18"/>
    </row>
    <row r="70" spans="2:24" x14ac:dyDescent="0.25">
      <c r="B70" s="12" t="s">
        <v>153</v>
      </c>
      <c r="C70" s="2"/>
      <c r="D70" s="173">
        <f>SUM(C45:C54)</f>
        <v>27806828</v>
      </c>
      <c r="E70" s="3"/>
      <c r="F70" s="3"/>
      <c r="G70" s="18"/>
      <c r="H70" s="18"/>
      <c r="I70" s="18"/>
      <c r="J70" s="18"/>
      <c r="K70" s="18"/>
    </row>
    <row r="71" spans="2:24" x14ac:dyDescent="0.25">
      <c r="B71" s="12" t="s">
        <v>154</v>
      </c>
      <c r="C71" s="2"/>
      <c r="D71" s="23">
        <f>D70/C58</f>
        <v>0.66419649426671656</v>
      </c>
      <c r="E71" s="3"/>
      <c r="F71" s="3"/>
      <c r="G71" s="18"/>
      <c r="H71" s="18"/>
      <c r="I71" s="18"/>
      <c r="J71" s="18"/>
      <c r="K71" s="18"/>
    </row>
    <row r="72" spans="2:24" x14ac:dyDescent="0.25">
      <c r="B72" s="12" t="s">
        <v>156</v>
      </c>
      <c r="C72" s="2"/>
      <c r="D72" s="174">
        <f>(C58-E67)/C58</f>
        <v>4.6717759339199819E-2</v>
      </c>
      <c r="E72" s="3"/>
      <c r="F72" s="3"/>
      <c r="G72" s="18"/>
      <c r="H72" s="18"/>
      <c r="I72" s="18"/>
      <c r="J72" s="18"/>
      <c r="K72" s="18"/>
    </row>
    <row r="73" spans="2:24" x14ac:dyDescent="0.25">
      <c r="B73" s="12"/>
      <c r="C73" s="2"/>
      <c r="D73" s="23"/>
      <c r="E73" s="3"/>
      <c r="F73" s="3"/>
      <c r="G73" s="18"/>
      <c r="H73" s="18"/>
      <c r="I73" s="18"/>
      <c r="J73" s="18"/>
      <c r="K73" s="18"/>
    </row>
    <row r="74" spans="2:24" x14ac:dyDescent="0.25">
      <c r="B74" s="12"/>
      <c r="C74" s="2"/>
      <c r="D74" s="23"/>
      <c r="E74" s="3"/>
      <c r="F74" s="3"/>
      <c r="G74" s="18"/>
      <c r="H74" s="18"/>
      <c r="I74" s="18"/>
      <c r="J74" s="18"/>
      <c r="K74" s="18"/>
    </row>
    <row r="75" spans="2:24" x14ac:dyDescent="0.25">
      <c r="B75" s="31"/>
      <c r="C75" s="2"/>
      <c r="D75" s="3"/>
      <c r="E75" s="3"/>
      <c r="F75" s="3"/>
      <c r="G75" s="18"/>
      <c r="H75" s="18"/>
      <c r="I75" s="18"/>
      <c r="J75" s="18"/>
      <c r="K75" s="18"/>
    </row>
    <row r="76" spans="2:24" x14ac:dyDescent="0.25">
      <c r="C76" s="2"/>
      <c r="D76" s="3"/>
      <c r="E76" s="3"/>
      <c r="F76" s="3"/>
      <c r="G76" s="18"/>
      <c r="H76" s="18"/>
      <c r="I76" s="18"/>
      <c r="J76" s="18"/>
      <c r="K76" s="18"/>
    </row>
    <row r="77" spans="2:24" ht="15.75" x14ac:dyDescent="0.25">
      <c r="B77" s="104" t="s">
        <v>162</v>
      </c>
      <c r="C77" s="2"/>
      <c r="D77" s="3"/>
      <c r="E77" s="3"/>
      <c r="F77" s="3"/>
      <c r="G77" s="18"/>
      <c r="H77" s="18"/>
      <c r="I77" s="18"/>
      <c r="J77" s="18"/>
      <c r="K77" s="18"/>
    </row>
    <row r="78" spans="2:24" x14ac:dyDescent="0.25">
      <c r="B78" s="119"/>
      <c r="C78" s="2"/>
      <c r="D78" s="3"/>
      <c r="E78" s="3"/>
      <c r="F78" s="3"/>
      <c r="G78" s="18"/>
      <c r="H78" s="18"/>
      <c r="I78" s="18"/>
      <c r="J78" s="18"/>
      <c r="K78" s="18"/>
    </row>
    <row r="79" spans="2:24" x14ac:dyDescent="0.25">
      <c r="B79" s="1" t="s">
        <v>1</v>
      </c>
      <c r="C79" s="2"/>
      <c r="D79" s="3"/>
      <c r="E79" s="3"/>
      <c r="F79" s="3"/>
      <c r="S79" s="2"/>
      <c r="T79" s="189"/>
      <c r="U79" s="189" t="s">
        <v>163</v>
      </c>
      <c r="V79">
        <v>13.108000000000001</v>
      </c>
      <c r="W79">
        <v>0.11286</v>
      </c>
      <c r="X79" t="s">
        <v>164</v>
      </c>
    </row>
    <row r="80" spans="2:24" x14ac:dyDescent="0.25">
      <c r="B80" s="1"/>
      <c r="C80" s="2"/>
      <c r="D80" s="3"/>
      <c r="E80" s="6"/>
      <c r="F80" s="6"/>
      <c r="L80" s="108">
        <v>5.2300000000000003E-3</v>
      </c>
      <c r="S80" s="2"/>
      <c r="T80" s="189"/>
      <c r="U80" s="189" t="s">
        <v>165</v>
      </c>
      <c r="V80">
        <v>13.108000000000001</v>
      </c>
      <c r="W80">
        <v>0.11284</v>
      </c>
      <c r="X80" t="s">
        <v>166</v>
      </c>
    </row>
    <row r="81" spans="1:27" x14ac:dyDescent="0.25">
      <c r="C81" s="97" t="s">
        <v>2</v>
      </c>
      <c r="D81" s="98" t="s">
        <v>3</v>
      </c>
      <c r="E81" s="98" t="s">
        <v>4</v>
      </c>
      <c r="F81" s="98" t="s">
        <v>5</v>
      </c>
      <c r="G81" s="7" t="s">
        <v>5</v>
      </c>
      <c r="H81" s="7" t="s">
        <v>43</v>
      </c>
      <c r="I81" s="7" t="s">
        <v>147</v>
      </c>
      <c r="J81" s="7" t="s">
        <v>150</v>
      </c>
      <c r="K81" s="7" t="s">
        <v>149</v>
      </c>
      <c r="L81" s="7" t="s">
        <v>144</v>
      </c>
      <c r="M81" s="7" t="s">
        <v>7</v>
      </c>
      <c r="N81" s="7" t="s">
        <v>8</v>
      </c>
      <c r="O81" s="7"/>
      <c r="P81" s="7"/>
      <c r="S81" s="97" t="s">
        <v>2</v>
      </c>
      <c r="T81" s="189" t="s">
        <v>3</v>
      </c>
      <c r="U81" s="189" t="s">
        <v>4</v>
      </c>
      <c r="V81" t="s">
        <v>5</v>
      </c>
      <c r="W81" t="s">
        <v>6</v>
      </c>
      <c r="X81" t="s">
        <v>143</v>
      </c>
      <c r="Y81" t="s">
        <v>7</v>
      </c>
      <c r="Z81" t="s">
        <v>8</v>
      </c>
    </row>
    <row r="82" spans="1:27" x14ac:dyDescent="0.25">
      <c r="B82" s="8"/>
      <c r="C82" s="99"/>
      <c r="D82" s="100" t="s">
        <v>5</v>
      </c>
      <c r="E82" s="100" t="s">
        <v>5</v>
      </c>
      <c r="F82" s="100" t="s">
        <v>146</v>
      </c>
      <c r="G82" s="9" t="s">
        <v>8</v>
      </c>
      <c r="H82" s="9"/>
      <c r="I82" s="9" t="s">
        <v>148</v>
      </c>
      <c r="J82" s="9"/>
      <c r="K82" s="9"/>
      <c r="L82" s="9"/>
      <c r="M82" s="9" t="s">
        <v>8</v>
      </c>
      <c r="N82" s="9" t="s">
        <v>109</v>
      </c>
      <c r="O82" s="7"/>
      <c r="P82" s="7"/>
      <c r="S82" s="97"/>
      <c r="T82" s="189" t="s">
        <v>5</v>
      </c>
      <c r="U82" s="189" t="s">
        <v>5</v>
      </c>
      <c r="V82" t="s">
        <v>8</v>
      </c>
      <c r="W82" t="s">
        <v>9</v>
      </c>
      <c r="Y82" t="s">
        <v>8</v>
      </c>
      <c r="Z82" t="s">
        <v>109</v>
      </c>
      <c r="AA82" s="171"/>
    </row>
    <row r="83" spans="1:27" x14ac:dyDescent="0.25">
      <c r="A83" t="s">
        <v>4</v>
      </c>
      <c r="B83" s="190">
        <v>45772</v>
      </c>
      <c r="C83" s="191">
        <v>4024409</v>
      </c>
      <c r="D83" s="192">
        <v>10423</v>
      </c>
      <c r="E83" s="189">
        <v>5831</v>
      </c>
      <c r="F83">
        <v>13.108000000000001</v>
      </c>
      <c r="G83" s="29">
        <f>F83*D83</f>
        <v>136624.68400000001</v>
      </c>
      <c r="H83" s="5">
        <f>H57</f>
        <v>0.10135</v>
      </c>
      <c r="I83" s="29">
        <f>H83*C83</f>
        <v>407873.85214999999</v>
      </c>
      <c r="J83" s="5">
        <f>J57</f>
        <v>6.28E-3</v>
      </c>
      <c r="K83" s="29">
        <f>J83*C83</f>
        <v>25273.288519999998</v>
      </c>
      <c r="L83" s="29">
        <f>C83*L$80</f>
        <v>21047.659070000002</v>
      </c>
      <c r="M83" s="29">
        <f t="shared" ref="M83:M94" si="20">L83+K83+I83+G83</f>
        <v>590819.48374000005</v>
      </c>
      <c r="N83" s="5">
        <f t="shared" ref="N83:N95" si="21">M83/C83</f>
        <v>0.1468090056800887</v>
      </c>
      <c r="O83" s="5"/>
      <c r="P83" s="65">
        <v>454194.79973999999</v>
      </c>
      <c r="Q83" s="143">
        <f>L83+K83+I83</f>
        <v>454194.79973999999</v>
      </c>
      <c r="S83" s="191">
        <v>4024409</v>
      </c>
      <c r="T83" s="192">
        <v>10423</v>
      </c>
      <c r="U83" s="189">
        <v>5831</v>
      </c>
      <c r="V83" s="94">
        <v>136624.68400000001</v>
      </c>
      <c r="W83" s="94">
        <v>454194.79973999999</v>
      </c>
      <c r="X83" s="94"/>
      <c r="Y83" s="94">
        <v>590819.48374000005</v>
      </c>
      <c r="Z83" s="78">
        <v>0.1468090056800887</v>
      </c>
      <c r="AA83" s="78" t="s">
        <v>167</v>
      </c>
    </row>
    <row r="84" spans="1:27" x14ac:dyDescent="0.25">
      <c r="A84" t="s">
        <v>4</v>
      </c>
      <c r="B84" s="190">
        <v>45808</v>
      </c>
      <c r="C84" s="191">
        <v>2305359</v>
      </c>
      <c r="D84" s="192">
        <v>10423</v>
      </c>
      <c r="E84" s="189">
        <v>6958</v>
      </c>
      <c r="F84">
        <v>13.108000000000001</v>
      </c>
      <c r="G84" s="29">
        <f t="shared" ref="G84:G94" si="22">F84*D84</f>
        <v>136624.68400000001</v>
      </c>
      <c r="H84" s="5">
        <f>H83</f>
        <v>0.10135</v>
      </c>
      <c r="I84" s="29">
        <f t="shared" ref="I84:I94" si="23">H84*C84</f>
        <v>233648.13464999999</v>
      </c>
      <c r="J84" s="5">
        <f>J83</f>
        <v>6.28E-3</v>
      </c>
      <c r="K84" s="29">
        <f t="shared" ref="K84:K94" si="24">J84*C84</f>
        <v>14477.65452</v>
      </c>
      <c r="L84" s="29">
        <f t="shared" ref="L84:L94" si="25">C84*L$80</f>
        <v>12057.02757</v>
      </c>
      <c r="M84" s="29">
        <f t="shared" si="20"/>
        <v>396807.50073999999</v>
      </c>
      <c r="N84" s="5">
        <f t="shared" si="21"/>
        <v>0.17212395151470986</v>
      </c>
      <c r="O84" s="5"/>
      <c r="P84" s="65">
        <v>260182.81674000001</v>
      </c>
      <c r="Q84" s="143">
        <f t="shared" ref="Q84:Q94" si="26">L84+K84+I84</f>
        <v>260182.81673999998</v>
      </c>
      <c r="S84" s="191">
        <v>2305359</v>
      </c>
      <c r="T84" s="192">
        <v>10423</v>
      </c>
      <c r="U84" s="189">
        <v>6958</v>
      </c>
      <c r="V84" s="94">
        <v>136624.68400000001</v>
      </c>
      <c r="W84" s="94">
        <v>260182.81674000001</v>
      </c>
      <c r="X84" s="94"/>
      <c r="Y84" s="94">
        <v>396807.50074000005</v>
      </c>
      <c r="Z84" s="78">
        <v>0.17212395151470988</v>
      </c>
      <c r="AA84" s="78"/>
    </row>
    <row r="85" spans="1:27" x14ac:dyDescent="0.25">
      <c r="A85" t="s">
        <v>4</v>
      </c>
      <c r="B85" s="190">
        <v>45838</v>
      </c>
      <c r="C85" s="191">
        <v>2436896</v>
      </c>
      <c r="D85" s="192">
        <v>10423</v>
      </c>
      <c r="E85" s="189">
        <v>5803</v>
      </c>
      <c r="F85">
        <v>13.108000000000001</v>
      </c>
      <c r="G85" s="29">
        <f t="shared" si="22"/>
        <v>136624.68400000001</v>
      </c>
      <c r="H85" s="5">
        <f t="shared" ref="H85:H91" si="27">H84</f>
        <v>0.10135</v>
      </c>
      <c r="I85" s="29">
        <f t="shared" si="23"/>
        <v>246979.40959999998</v>
      </c>
      <c r="J85" s="5">
        <f t="shared" ref="J85:J94" si="28">J84</f>
        <v>6.28E-3</v>
      </c>
      <c r="K85" s="29">
        <f t="shared" si="24"/>
        <v>15303.70688</v>
      </c>
      <c r="L85" s="29">
        <f t="shared" si="25"/>
        <v>12744.96608</v>
      </c>
      <c r="M85" s="29">
        <f t="shared" si="20"/>
        <v>411652.76656000002</v>
      </c>
      <c r="N85" s="5">
        <f t="shared" si="21"/>
        <v>0.1689250450409045</v>
      </c>
      <c r="O85" s="5"/>
      <c r="P85" s="65">
        <v>275028.08256000001</v>
      </c>
      <c r="Q85" s="143">
        <f t="shared" si="26"/>
        <v>275028.08256000001</v>
      </c>
      <c r="S85" s="191">
        <v>2436896</v>
      </c>
      <c r="T85" s="192">
        <v>10423</v>
      </c>
      <c r="U85" s="189">
        <v>5803</v>
      </c>
      <c r="V85" s="94">
        <v>136624.68400000001</v>
      </c>
      <c r="W85" s="94">
        <v>275028.08256000001</v>
      </c>
      <c r="X85" s="94"/>
      <c r="Y85" s="94">
        <v>411652.76656000002</v>
      </c>
      <c r="Z85" s="78">
        <v>0.1689250450409045</v>
      </c>
      <c r="AA85" s="78"/>
    </row>
    <row r="86" spans="1:27" x14ac:dyDescent="0.25">
      <c r="A86" t="s">
        <v>4</v>
      </c>
      <c r="B86" s="190">
        <v>45839</v>
      </c>
      <c r="C86" s="191">
        <v>3059966</v>
      </c>
      <c r="D86" s="192">
        <v>10423</v>
      </c>
      <c r="E86" s="189">
        <v>5621</v>
      </c>
      <c r="F86">
        <v>13.108000000000001</v>
      </c>
      <c r="G86" s="29">
        <f t="shared" si="22"/>
        <v>136624.68400000001</v>
      </c>
      <c r="H86" s="5">
        <f t="shared" si="27"/>
        <v>0.10135</v>
      </c>
      <c r="I86" s="29">
        <f t="shared" si="23"/>
        <v>310127.55410000001</v>
      </c>
      <c r="J86" s="5">
        <f t="shared" si="28"/>
        <v>6.28E-3</v>
      </c>
      <c r="K86" s="29">
        <f t="shared" si="24"/>
        <v>19216.586480000002</v>
      </c>
      <c r="L86" s="29">
        <f t="shared" si="25"/>
        <v>16003.62218</v>
      </c>
      <c r="M86" s="29">
        <f t="shared" si="20"/>
        <v>481972.44676000002</v>
      </c>
      <c r="N86" s="5">
        <f t="shared" si="21"/>
        <v>0.15750908564343527</v>
      </c>
      <c r="O86" s="5"/>
      <c r="P86" s="65">
        <v>345347.76276000001</v>
      </c>
      <c r="Q86" s="143">
        <f t="shared" si="26"/>
        <v>345347.76276000001</v>
      </c>
      <c r="S86" s="191">
        <v>3059966</v>
      </c>
      <c r="T86" s="192">
        <v>10423</v>
      </c>
      <c r="U86" s="189">
        <v>5621</v>
      </c>
      <c r="V86" s="94">
        <v>136624.68400000001</v>
      </c>
      <c r="W86" s="94">
        <v>345347.76276000001</v>
      </c>
      <c r="X86" s="94"/>
      <c r="Y86" s="94">
        <v>481972.44676000002</v>
      </c>
      <c r="Z86" s="78">
        <v>0.15750908564343527</v>
      </c>
      <c r="AA86" s="78"/>
    </row>
    <row r="87" spans="1:27" x14ac:dyDescent="0.25">
      <c r="A87" t="s">
        <v>4</v>
      </c>
      <c r="B87" s="190">
        <v>45870</v>
      </c>
      <c r="C87" s="191">
        <v>3032274</v>
      </c>
      <c r="D87" s="192">
        <v>10423</v>
      </c>
      <c r="E87" s="189">
        <v>5453</v>
      </c>
      <c r="F87">
        <v>13.108000000000001</v>
      </c>
      <c r="G87" s="29">
        <f t="shared" si="22"/>
        <v>136624.68400000001</v>
      </c>
      <c r="H87" s="5">
        <f t="shared" si="27"/>
        <v>0.10135</v>
      </c>
      <c r="I87" s="29">
        <f t="shared" si="23"/>
        <v>307320.96989999997</v>
      </c>
      <c r="J87" s="5">
        <f t="shared" si="28"/>
        <v>6.28E-3</v>
      </c>
      <c r="K87" s="29">
        <f t="shared" si="24"/>
        <v>19042.68072</v>
      </c>
      <c r="L87" s="29">
        <f t="shared" si="25"/>
        <v>15858.793020000001</v>
      </c>
      <c r="M87" s="29">
        <f t="shared" si="20"/>
        <v>478847.12763999996</v>
      </c>
      <c r="N87" s="5">
        <f t="shared" si="21"/>
        <v>0.15791683985022462</v>
      </c>
      <c r="O87" s="5"/>
      <c r="P87" s="65">
        <v>342222.44364000001</v>
      </c>
      <c r="Q87" s="143">
        <f t="shared" si="26"/>
        <v>342222.44363999995</v>
      </c>
      <c r="S87" s="191">
        <v>3032274</v>
      </c>
      <c r="T87" s="192">
        <v>10423</v>
      </c>
      <c r="U87" s="189">
        <v>5453</v>
      </c>
      <c r="V87" s="94">
        <v>136624.68400000001</v>
      </c>
      <c r="W87" s="94">
        <v>342222.44364000001</v>
      </c>
      <c r="X87" s="94"/>
      <c r="Y87" s="94">
        <v>478847.12764000002</v>
      </c>
      <c r="Z87" s="78">
        <v>0.15791683985022462</v>
      </c>
      <c r="AA87" s="78"/>
    </row>
    <row r="88" spans="1:27" x14ac:dyDescent="0.25">
      <c r="A88" t="s">
        <v>4</v>
      </c>
      <c r="B88" s="190">
        <v>45901</v>
      </c>
      <c r="C88" s="191">
        <v>2824584</v>
      </c>
      <c r="D88" s="192">
        <v>10423</v>
      </c>
      <c r="E88" s="189">
        <v>5005</v>
      </c>
      <c r="F88">
        <v>13.108000000000001</v>
      </c>
      <c r="G88" s="29">
        <f t="shared" si="22"/>
        <v>136624.68400000001</v>
      </c>
      <c r="H88" s="5">
        <f t="shared" si="27"/>
        <v>0.10135</v>
      </c>
      <c r="I88" s="29">
        <f t="shared" si="23"/>
        <v>286271.58840000001</v>
      </c>
      <c r="J88" s="5">
        <f t="shared" si="28"/>
        <v>6.28E-3</v>
      </c>
      <c r="K88" s="29">
        <f t="shared" si="24"/>
        <v>17738.38752</v>
      </c>
      <c r="L88" s="29">
        <f t="shared" si="25"/>
        <v>14772.574320000002</v>
      </c>
      <c r="M88" s="29">
        <f t="shared" si="20"/>
        <v>455407.23424000002</v>
      </c>
      <c r="N88" s="5">
        <f t="shared" si="21"/>
        <v>0.16122984278038821</v>
      </c>
      <c r="O88" s="5"/>
      <c r="P88" s="65">
        <v>318782.55024000001</v>
      </c>
      <c r="Q88" s="143">
        <f t="shared" si="26"/>
        <v>318782.55024000001</v>
      </c>
      <c r="S88" s="191">
        <v>2824584</v>
      </c>
      <c r="T88" s="192">
        <v>10423</v>
      </c>
      <c r="U88" s="189">
        <v>5005</v>
      </c>
      <c r="V88" s="94">
        <v>136624.68400000001</v>
      </c>
      <c r="W88" s="94">
        <v>318782.55024000001</v>
      </c>
      <c r="X88" s="94"/>
      <c r="Y88" s="94">
        <v>455407.23424000002</v>
      </c>
      <c r="Z88" s="78">
        <v>0.16122984278038821</v>
      </c>
      <c r="AA88" s="78" t="s">
        <v>168</v>
      </c>
    </row>
    <row r="89" spans="1:27" x14ac:dyDescent="0.25">
      <c r="A89" t="s">
        <v>4</v>
      </c>
      <c r="B89" s="190">
        <v>45931</v>
      </c>
      <c r="C89" s="191">
        <v>2873045</v>
      </c>
      <c r="D89" s="192">
        <v>10423</v>
      </c>
      <c r="E89" s="189">
        <v>5495</v>
      </c>
      <c r="F89">
        <v>13.108000000000001</v>
      </c>
      <c r="G89" s="29">
        <f t="shared" si="22"/>
        <v>136624.68400000001</v>
      </c>
      <c r="H89" s="5">
        <f t="shared" si="27"/>
        <v>0.10135</v>
      </c>
      <c r="I89" s="29">
        <f t="shared" si="23"/>
        <v>291183.11074999999</v>
      </c>
      <c r="J89" s="5">
        <f t="shared" si="28"/>
        <v>6.28E-3</v>
      </c>
      <c r="K89" s="29">
        <f t="shared" si="24"/>
        <v>18042.722600000001</v>
      </c>
      <c r="L89" s="29">
        <f t="shared" si="25"/>
        <v>15026.02535</v>
      </c>
      <c r="M89" s="29">
        <f t="shared" si="20"/>
        <v>460876.54269999999</v>
      </c>
      <c r="N89" s="5">
        <f t="shared" si="21"/>
        <v>0.16041396591421297</v>
      </c>
      <c r="O89" s="5"/>
      <c r="P89" s="65">
        <v>324251.85869999998</v>
      </c>
      <c r="Q89" s="143">
        <f t="shared" si="26"/>
        <v>324251.85869999998</v>
      </c>
      <c r="S89" s="191">
        <v>2873045</v>
      </c>
      <c r="T89" s="192">
        <v>10423</v>
      </c>
      <c r="U89" s="189">
        <v>5495</v>
      </c>
      <c r="V89" s="94">
        <v>136624.68400000001</v>
      </c>
      <c r="W89" s="94">
        <v>324251.85869999998</v>
      </c>
      <c r="X89" s="94"/>
      <c r="Y89" s="94">
        <v>460876.54269999999</v>
      </c>
      <c r="Z89" s="78">
        <v>0.16041396591421297</v>
      </c>
      <c r="AA89" s="78"/>
    </row>
    <row r="90" spans="1:27" x14ac:dyDescent="0.25">
      <c r="A90" t="s">
        <v>4</v>
      </c>
      <c r="B90" s="190">
        <v>45962</v>
      </c>
      <c r="C90" s="191">
        <v>3298879</v>
      </c>
      <c r="D90" s="192">
        <v>10423</v>
      </c>
      <c r="E90" s="189">
        <v>7203</v>
      </c>
      <c r="F90">
        <v>13.108000000000001</v>
      </c>
      <c r="G90" s="29">
        <f t="shared" si="22"/>
        <v>136624.68400000001</v>
      </c>
      <c r="H90" s="5">
        <f t="shared" si="27"/>
        <v>0.10135</v>
      </c>
      <c r="I90" s="29">
        <f t="shared" si="23"/>
        <v>334341.38665</v>
      </c>
      <c r="J90" s="5">
        <f t="shared" si="28"/>
        <v>6.28E-3</v>
      </c>
      <c r="K90" s="29">
        <f t="shared" si="24"/>
        <v>20716.96012</v>
      </c>
      <c r="L90" s="29">
        <f t="shared" si="25"/>
        <v>17253.137170000002</v>
      </c>
      <c r="M90" s="29">
        <f t="shared" si="20"/>
        <v>508936.16794000001</v>
      </c>
      <c r="N90" s="5">
        <f t="shared" si="21"/>
        <v>0.15427548810974881</v>
      </c>
      <c r="O90" s="5"/>
      <c r="P90" s="65">
        <v>372311.48394000001</v>
      </c>
      <c r="Q90" s="143">
        <f t="shared" si="26"/>
        <v>372311.48394000001</v>
      </c>
      <c r="S90" s="191">
        <v>3298879</v>
      </c>
      <c r="T90" s="192">
        <v>10423</v>
      </c>
      <c r="U90" s="189">
        <v>7203</v>
      </c>
      <c r="V90" s="94">
        <v>136624.68400000001</v>
      </c>
      <c r="W90" s="94">
        <v>372311.48394000001</v>
      </c>
      <c r="X90" s="94"/>
      <c r="Y90" s="94">
        <v>508936.16794000001</v>
      </c>
      <c r="Z90" s="78">
        <v>0.15427548810974881</v>
      </c>
      <c r="AA90" s="35"/>
    </row>
    <row r="91" spans="1:27" x14ac:dyDescent="0.25">
      <c r="A91" t="s">
        <v>4</v>
      </c>
      <c r="B91" s="193">
        <v>45992</v>
      </c>
      <c r="C91" s="2">
        <v>4926961</v>
      </c>
      <c r="D91" s="192">
        <v>10423</v>
      </c>
      <c r="E91" s="189">
        <v>9450</v>
      </c>
      <c r="F91">
        <v>13.108000000000001</v>
      </c>
      <c r="G91" s="29">
        <f t="shared" si="22"/>
        <v>136624.68400000001</v>
      </c>
      <c r="H91" s="5">
        <f t="shared" si="27"/>
        <v>0.10135</v>
      </c>
      <c r="I91" s="29">
        <f t="shared" si="23"/>
        <v>499347.49734999996</v>
      </c>
      <c r="J91" s="5">
        <f t="shared" si="28"/>
        <v>6.28E-3</v>
      </c>
      <c r="K91" s="29">
        <f t="shared" si="24"/>
        <v>30941.31508</v>
      </c>
      <c r="L91" s="29">
        <f t="shared" si="25"/>
        <v>25768.00603</v>
      </c>
      <c r="M91" s="29">
        <f t="shared" si="20"/>
        <v>692681.50245999999</v>
      </c>
      <c r="N91" s="5">
        <f t="shared" si="21"/>
        <v>0.14059001125846135</v>
      </c>
      <c r="P91" s="65">
        <v>556056.81845999998</v>
      </c>
      <c r="Q91" s="143">
        <f t="shared" si="26"/>
        <v>556056.81845999998</v>
      </c>
      <c r="S91" s="2">
        <v>4926961</v>
      </c>
      <c r="T91" s="192">
        <v>10423</v>
      </c>
      <c r="U91" s="189">
        <v>9450</v>
      </c>
      <c r="V91" s="94">
        <v>136624.68400000001</v>
      </c>
      <c r="W91" s="94">
        <v>556056.81845999998</v>
      </c>
      <c r="X91" s="94"/>
      <c r="Y91" s="94">
        <v>692681.50245999999</v>
      </c>
      <c r="Z91" s="78">
        <v>0.14059001125846135</v>
      </c>
      <c r="AA91" s="78"/>
    </row>
    <row r="92" spans="1:27" x14ac:dyDescent="0.25">
      <c r="A92" t="s">
        <v>4</v>
      </c>
      <c r="B92" s="193">
        <v>46053</v>
      </c>
      <c r="C92" s="2">
        <v>5184012</v>
      </c>
      <c r="D92" s="192">
        <v>10542</v>
      </c>
      <c r="E92" s="189">
        <v>10542</v>
      </c>
      <c r="F92">
        <v>13.108000000000001</v>
      </c>
      <c r="G92" s="29">
        <f t="shared" si="22"/>
        <v>138184.53599999999</v>
      </c>
      <c r="H92" s="195">
        <f>10.133/100</f>
        <v>0.10132999999999999</v>
      </c>
      <c r="I92" s="29">
        <f t="shared" si="23"/>
        <v>525295.93595999992</v>
      </c>
      <c r="J92" s="5">
        <f t="shared" si="28"/>
        <v>6.28E-3</v>
      </c>
      <c r="K92" s="29">
        <f t="shared" si="24"/>
        <v>32555.595359999999</v>
      </c>
      <c r="L92" s="29">
        <f t="shared" si="25"/>
        <v>27112.38276</v>
      </c>
      <c r="M92" s="29">
        <f t="shared" si="20"/>
        <v>723148.45007999986</v>
      </c>
      <c r="N92" s="5">
        <f t="shared" si="21"/>
        <v>0.13949590588910671</v>
      </c>
      <c r="P92" s="65">
        <v>584967.26</v>
      </c>
      <c r="Q92" s="143">
        <f t="shared" si="26"/>
        <v>584963.9140799999</v>
      </c>
      <c r="S92" s="2">
        <v>5184012</v>
      </c>
      <c r="T92" s="192">
        <v>10542</v>
      </c>
      <c r="U92" s="189">
        <v>10542</v>
      </c>
      <c r="V92" s="94">
        <v>138184.53599999999</v>
      </c>
      <c r="W92" s="94">
        <v>584967.26</v>
      </c>
      <c r="X92" s="94"/>
      <c r="Y92" s="94">
        <v>723151.79599999997</v>
      </c>
      <c r="Z92" s="78">
        <v>0.13949655131971145</v>
      </c>
      <c r="AA92" s="78"/>
    </row>
    <row r="93" spans="1:27" x14ac:dyDescent="0.25">
      <c r="A93" s="86" t="s">
        <v>169</v>
      </c>
      <c r="B93" s="196">
        <v>46081</v>
      </c>
      <c r="C93" s="197">
        <v>4751809</v>
      </c>
      <c r="D93" s="198">
        <v>10542</v>
      </c>
      <c r="E93" s="199">
        <v>9625</v>
      </c>
      <c r="F93" s="86">
        <v>13.108000000000001</v>
      </c>
      <c r="G93" s="200">
        <f t="shared" si="22"/>
        <v>138184.53599999999</v>
      </c>
      <c r="H93" s="201">
        <f>10.133/100</f>
        <v>0.10132999999999999</v>
      </c>
      <c r="I93" s="200">
        <f t="shared" si="23"/>
        <v>481500.80596999993</v>
      </c>
      <c r="J93" s="5">
        <f t="shared" si="28"/>
        <v>6.28E-3</v>
      </c>
      <c r="K93" s="29">
        <f t="shared" si="24"/>
        <v>29841.360519999998</v>
      </c>
      <c r="L93" s="29">
        <f t="shared" si="25"/>
        <v>24851.961070000001</v>
      </c>
      <c r="M93" s="29">
        <f t="shared" si="20"/>
        <v>674378.6635599999</v>
      </c>
      <c r="N93" s="5">
        <f t="shared" si="21"/>
        <v>0.14192040622003113</v>
      </c>
      <c r="P93" s="65">
        <v>536194.12755999994</v>
      </c>
      <c r="Q93" s="143">
        <f t="shared" si="26"/>
        <v>536194.12755999994</v>
      </c>
      <c r="S93" s="2"/>
      <c r="T93" s="192"/>
      <c r="U93" s="189"/>
      <c r="V93" s="94">
        <v>0</v>
      </c>
      <c r="W93" s="94"/>
      <c r="X93" s="94"/>
      <c r="Y93" s="94">
        <v>0</v>
      </c>
      <c r="Z93" s="78"/>
      <c r="AA93" s="78"/>
    </row>
    <row r="94" spans="1:27" x14ac:dyDescent="0.25">
      <c r="A94" s="86" t="s">
        <v>169</v>
      </c>
      <c r="B94" s="196">
        <v>46112</v>
      </c>
      <c r="C94" s="197">
        <v>4503896</v>
      </c>
      <c r="D94" s="198">
        <v>10542</v>
      </c>
      <c r="E94" s="199">
        <v>9723</v>
      </c>
      <c r="F94" s="86">
        <v>13.108000000000001</v>
      </c>
      <c r="G94" s="200">
        <f t="shared" si="22"/>
        <v>138184.53599999999</v>
      </c>
      <c r="H94" s="201">
        <f>10.133/100</f>
        <v>0.10132999999999999</v>
      </c>
      <c r="I94" s="200">
        <f t="shared" si="23"/>
        <v>456379.78167999996</v>
      </c>
      <c r="J94" s="5">
        <f t="shared" si="28"/>
        <v>6.28E-3</v>
      </c>
      <c r="K94" s="29">
        <f t="shared" si="24"/>
        <v>28284.46688</v>
      </c>
      <c r="L94" s="29">
        <f t="shared" si="25"/>
        <v>23555.376080000002</v>
      </c>
      <c r="M94" s="29">
        <f t="shared" si="20"/>
        <v>646404.1606399999</v>
      </c>
      <c r="N94" s="5">
        <f t="shared" si="21"/>
        <v>0.14352111164200948</v>
      </c>
      <c r="P94" s="65">
        <v>508219.62463999999</v>
      </c>
      <c r="Q94" s="143">
        <f t="shared" si="26"/>
        <v>508219.62463999994</v>
      </c>
      <c r="S94" s="2"/>
      <c r="T94" s="192"/>
      <c r="U94" s="189"/>
      <c r="V94" s="94">
        <v>0</v>
      </c>
      <c r="W94" s="94">
        <v>0</v>
      </c>
      <c r="X94" s="94"/>
      <c r="Y94" s="94">
        <v>0</v>
      </c>
      <c r="Z94" s="78"/>
      <c r="AA94" s="78"/>
    </row>
    <row r="95" spans="1:27" ht="15.75" thickBot="1" x14ac:dyDescent="0.3">
      <c r="C95" s="14">
        <f>SUM(C83:C94)</f>
        <v>43222090</v>
      </c>
      <c r="D95" s="14">
        <f>SUM(D83:D94)</f>
        <v>125433</v>
      </c>
      <c r="E95" s="15">
        <f>SUM(E83:E94)</f>
        <v>86709</v>
      </c>
      <c r="F95" s="145"/>
      <c r="G95" s="30">
        <f>SUM(G83:G94)</f>
        <v>1644175.7640000002</v>
      </c>
      <c r="H95" s="30"/>
      <c r="I95" s="30">
        <f>SUM(I83:I94)+0.01</f>
        <v>4380270.0371599989</v>
      </c>
      <c r="J95" s="30"/>
      <c r="K95" s="30"/>
      <c r="L95" s="30">
        <f>L94</f>
        <v>23555.376080000002</v>
      </c>
      <c r="M95" s="30">
        <f>SUM(M83:M94)+0.01</f>
        <v>6521932.0570599996</v>
      </c>
      <c r="N95" s="202">
        <f t="shared" si="21"/>
        <v>0.15089349119998594</v>
      </c>
      <c r="O95" s="5"/>
      <c r="P95" s="29">
        <v>4877759.6289799996</v>
      </c>
      <c r="Q95" s="143">
        <f>SUM(Q83:Q94)</f>
        <v>4877756.2830600003</v>
      </c>
      <c r="S95" s="191">
        <v>33966385</v>
      </c>
      <c r="T95" s="2">
        <v>104349</v>
      </c>
      <c r="U95" s="2">
        <v>67361</v>
      </c>
      <c r="V95" s="143">
        <v>1367806.692</v>
      </c>
      <c r="W95" s="143">
        <v>3833345.8767799996</v>
      </c>
      <c r="X95" s="143">
        <v>0</v>
      </c>
      <c r="Y95" s="143">
        <v>5201152.5687800003</v>
      </c>
      <c r="Z95" s="78">
        <v>0.15312646808837621</v>
      </c>
      <c r="AA95" s="94"/>
    </row>
    <row r="96" spans="1:27" ht="15.75" thickTop="1" x14ac:dyDescent="0.25">
      <c r="C96" s="2">
        <f>SUM(C83:C92)/E110</f>
        <v>42937461.034360155</v>
      </c>
      <c r="D96" s="3"/>
      <c r="E96" s="3"/>
      <c r="F96" s="3"/>
    </row>
    <row r="97" spans="2:18" x14ac:dyDescent="0.25">
      <c r="B97" t="s">
        <v>241</v>
      </c>
      <c r="C97" s="2">
        <f>SUM(C84:C91)</f>
        <v>24757964</v>
      </c>
      <c r="D97" s="206">
        <f>C97/C95</f>
        <v>0.57280811733074455</v>
      </c>
      <c r="E97" s="3"/>
      <c r="F97" s="3"/>
    </row>
    <row r="98" spans="2:18" x14ac:dyDescent="0.25">
      <c r="C98" s="2"/>
      <c r="D98" s="3"/>
      <c r="E98" s="3"/>
      <c r="F98" s="3"/>
    </row>
    <row r="99" spans="2:18" x14ac:dyDescent="0.25">
      <c r="B99" s="16" t="s">
        <v>113</v>
      </c>
      <c r="C99" s="17"/>
      <c r="D99" s="107" t="s">
        <v>114</v>
      </c>
      <c r="E99" s="116" t="s">
        <v>103</v>
      </c>
      <c r="F99" s="116"/>
      <c r="G99" s="123"/>
      <c r="H99" s="123"/>
      <c r="I99" s="121"/>
      <c r="J99" s="221" t="s">
        <v>223</v>
      </c>
      <c r="K99" s="222" t="s">
        <v>224</v>
      </c>
      <c r="L99" s="222" t="s">
        <v>44</v>
      </c>
      <c r="M99" s="222" t="s">
        <v>225</v>
      </c>
      <c r="N99" s="223" t="s">
        <v>260</v>
      </c>
      <c r="O99" s="122"/>
      <c r="P99" s="122"/>
      <c r="Q99" s="122"/>
      <c r="R99" s="122"/>
    </row>
    <row r="100" spans="2:18" x14ac:dyDescent="0.25">
      <c r="B100" s="19" t="s">
        <v>10</v>
      </c>
      <c r="C100" s="17"/>
      <c r="D100" s="2">
        <f>J100</f>
        <v>3749358.38</v>
      </c>
      <c r="E100" s="185">
        <f>709692+18868436</f>
        <v>19578128</v>
      </c>
      <c r="F100" s="203"/>
      <c r="G100" s="169"/>
      <c r="H100" s="18"/>
      <c r="I100" s="18"/>
      <c r="J100" s="20">
        <v>3749358.38</v>
      </c>
      <c r="K100" s="20">
        <v>166638.54</v>
      </c>
      <c r="L100" s="20">
        <v>2365403.2299999995</v>
      </c>
      <c r="M100" s="2">
        <v>2532041.7699999996</v>
      </c>
      <c r="N100" s="2">
        <v>1340396.1900000002</v>
      </c>
    </row>
    <row r="101" spans="2:18" x14ac:dyDescent="0.25">
      <c r="B101" s="19" t="s">
        <v>11</v>
      </c>
      <c r="C101" s="17"/>
      <c r="D101" s="2">
        <f>K100</f>
        <v>166638.54</v>
      </c>
      <c r="E101" s="185">
        <v>826727</v>
      </c>
      <c r="F101" s="203"/>
      <c r="G101" s="18"/>
      <c r="H101" s="18"/>
      <c r="I101" s="18"/>
      <c r="J101" s="18"/>
      <c r="K101" s="18"/>
      <c r="L101" s="18"/>
      <c r="M101" s="21"/>
    </row>
    <row r="102" spans="2:18" x14ac:dyDescent="0.25">
      <c r="B102" s="19" t="s">
        <v>12</v>
      </c>
      <c r="C102" s="17"/>
      <c r="D102" s="2">
        <f>L100</f>
        <v>2365403.2299999995</v>
      </c>
      <c r="E102" s="185">
        <f>242442+11459979</f>
        <v>11702421</v>
      </c>
      <c r="F102" s="203"/>
      <c r="G102" s="18"/>
      <c r="H102" s="18"/>
      <c r="I102" s="18"/>
      <c r="J102" s="18"/>
      <c r="K102" s="18"/>
      <c r="L102" s="18"/>
    </row>
    <row r="103" spans="2:18" x14ac:dyDescent="0.25">
      <c r="B103" s="19" t="s">
        <v>13</v>
      </c>
      <c r="C103" s="17"/>
      <c r="D103" s="2">
        <f>N100</f>
        <v>1340396.1900000002</v>
      </c>
      <c r="E103" s="185">
        <v>8202700</v>
      </c>
      <c r="F103" s="203"/>
      <c r="G103" s="18"/>
      <c r="H103" s="18"/>
      <c r="I103" s="18"/>
      <c r="J103" s="18"/>
      <c r="K103" s="18"/>
      <c r="L103" s="18"/>
    </row>
    <row r="104" spans="2:18" x14ac:dyDescent="0.25">
      <c r="B104" s="19" t="s">
        <v>14</v>
      </c>
      <c r="C104" s="17"/>
      <c r="D104" s="2">
        <v>172798</v>
      </c>
      <c r="E104" s="203">
        <v>106803</v>
      </c>
      <c r="F104" s="203" t="s">
        <v>175</v>
      </c>
      <c r="G104" s="18"/>
      <c r="H104" s="18"/>
      <c r="I104" s="18"/>
      <c r="J104" s="18"/>
      <c r="K104" s="18"/>
      <c r="L104" s="18"/>
    </row>
    <row r="105" spans="2:18" ht="15.75" thickBot="1" x14ac:dyDescent="0.3">
      <c r="B105" s="21"/>
      <c r="C105" s="22"/>
      <c r="D105" s="2">
        <v>7585205.3900000006</v>
      </c>
      <c r="E105" s="118">
        <f>SUM(E100:E104)</f>
        <v>40416779</v>
      </c>
      <c r="F105" s="215">
        <f>D105/E105</f>
        <v>0.18767466328773999</v>
      </c>
    </row>
    <row r="106" spans="2:18" ht="15.75" thickTop="1" x14ac:dyDescent="0.25">
      <c r="C106" s="2"/>
      <c r="D106" s="3"/>
      <c r="E106" s="3"/>
      <c r="F106" s="3"/>
    </row>
    <row r="107" spans="2:18" x14ac:dyDescent="0.25">
      <c r="B107" s="19" t="s">
        <v>170</v>
      </c>
      <c r="C107" s="2"/>
      <c r="D107" s="3"/>
      <c r="E107" s="3"/>
      <c r="F107" s="3"/>
    </row>
    <row r="108" spans="2:18" x14ac:dyDescent="0.25">
      <c r="C108" s="2" t="s">
        <v>171</v>
      </c>
      <c r="D108" s="144">
        <f>(C21+C22)/C23</f>
        <v>0.20343537432094078</v>
      </c>
      <c r="E108" s="3"/>
      <c r="F108" s="3"/>
    </row>
    <row r="109" spans="2:18" x14ac:dyDescent="0.25">
      <c r="C109" s="2" t="s">
        <v>172</v>
      </c>
      <c r="D109" s="144">
        <f>(C56+C57)/C58</f>
        <v>0.21443171973854092</v>
      </c>
      <c r="E109" s="3"/>
      <c r="F109" s="3"/>
    </row>
    <row r="110" spans="2:18" x14ac:dyDescent="0.25">
      <c r="C110" s="2" t="s">
        <v>112</v>
      </c>
      <c r="D110" s="144">
        <f>AVERAGE(D108:D109)</f>
        <v>0.20893354702974085</v>
      </c>
      <c r="E110" s="3">
        <f>1-D110</f>
        <v>0.79106645297025913</v>
      </c>
      <c r="F110" s="3"/>
    </row>
    <row r="111" spans="2:18" x14ac:dyDescent="0.25">
      <c r="C111" s="2" t="s">
        <v>173</v>
      </c>
      <c r="D111" s="194">
        <v>0.99931092575887837</v>
      </c>
      <c r="E111" s="3"/>
      <c r="F111" s="3"/>
    </row>
    <row r="112" spans="2:18" x14ac:dyDescent="0.25">
      <c r="C112" s="2"/>
      <c r="D112" s="3"/>
      <c r="E112" s="3"/>
      <c r="F112" s="3"/>
    </row>
    <row r="113" spans="2:14" x14ac:dyDescent="0.25">
      <c r="C113" s="2"/>
      <c r="D113" s="3"/>
      <c r="E113" s="3"/>
      <c r="F113" s="3"/>
    </row>
    <row r="114" spans="2:14" x14ac:dyDescent="0.25">
      <c r="C114" s="2"/>
      <c r="D114" s="3"/>
      <c r="E114" s="3"/>
      <c r="F114" s="3"/>
    </row>
    <row r="115" spans="2:14" x14ac:dyDescent="0.25">
      <c r="B115" s="12" t="s">
        <v>152</v>
      </c>
      <c r="C115" s="2"/>
      <c r="D115" s="186">
        <f>M95/D105</f>
        <v>0.85982273672618359</v>
      </c>
      <c r="E115" s="3"/>
      <c r="F115" s="3"/>
      <c r="G115" s="24"/>
      <c r="H115" s="24"/>
    </row>
    <row r="116" spans="2:14" x14ac:dyDescent="0.25">
      <c r="B116" s="12" t="s">
        <v>236</v>
      </c>
      <c r="C116" s="2"/>
      <c r="D116" s="173">
        <f>SUM(C84:C91)</f>
        <v>24757964</v>
      </c>
      <c r="E116" s="3"/>
      <c r="F116" s="3"/>
      <c r="G116" s="24"/>
      <c r="H116" s="24"/>
    </row>
    <row r="117" spans="2:14" x14ac:dyDescent="0.25">
      <c r="B117" s="12" t="s">
        <v>237</v>
      </c>
      <c r="C117" s="2"/>
      <c r="D117" s="23">
        <f>D116/C95</f>
        <v>0.57280811733074455</v>
      </c>
      <c r="E117" s="3"/>
      <c r="F117" s="3"/>
      <c r="G117" s="24"/>
      <c r="H117" s="24"/>
    </row>
    <row r="118" spans="2:14" x14ac:dyDescent="0.25">
      <c r="B118" s="12" t="s">
        <v>156</v>
      </c>
      <c r="C118" s="2"/>
      <c r="D118" s="174">
        <f>(C95-E105)/C95</f>
        <v>6.4904566160498028E-2</v>
      </c>
      <c r="E118" s="3"/>
      <c r="F118" s="3"/>
      <c r="G118" s="24"/>
      <c r="H118" s="24"/>
    </row>
    <row r="119" spans="2:14" x14ac:dyDescent="0.25">
      <c r="B119" s="12"/>
      <c r="C119" s="2"/>
      <c r="D119" s="23"/>
      <c r="E119" s="3"/>
      <c r="F119" s="3"/>
      <c r="G119" s="24"/>
      <c r="H119" s="24"/>
    </row>
    <row r="120" spans="2:14" x14ac:dyDescent="0.25">
      <c r="B120" s="12" t="s">
        <v>242</v>
      </c>
      <c r="C120" s="2"/>
      <c r="D120" s="174">
        <f>(D97+D59+D24)/3</f>
        <v>0.58765927121021955</v>
      </c>
      <c r="E120" s="3"/>
      <c r="F120" s="3"/>
      <c r="G120" s="24"/>
      <c r="H120" s="24"/>
    </row>
    <row r="121" spans="2:14" x14ac:dyDescent="0.25">
      <c r="B121" s="12"/>
      <c r="C121" s="2"/>
      <c r="D121" s="23"/>
      <c r="E121" s="3"/>
      <c r="I121" s="3"/>
      <c r="J121" s="24"/>
      <c r="K121" s="24"/>
    </row>
    <row r="122" spans="2:14" ht="29.45" customHeight="1" x14ac:dyDescent="0.25">
      <c r="H122" s="243"/>
      <c r="I122" s="243"/>
      <c r="K122" s="242" t="s">
        <v>245</v>
      </c>
      <c r="L122" s="242"/>
    </row>
    <row r="123" spans="2:14" ht="20.100000000000001" customHeight="1" x14ac:dyDescent="0.25">
      <c r="C123" s="83"/>
      <c r="D123" s="84"/>
      <c r="E123" s="247" t="s">
        <v>199</v>
      </c>
      <c r="F123" s="247"/>
      <c r="H123" s="26"/>
      <c r="I123" s="84" t="s">
        <v>239</v>
      </c>
      <c r="K123" s="84" t="s">
        <v>239</v>
      </c>
      <c r="L123" s="84" t="s">
        <v>246</v>
      </c>
    </row>
    <row r="124" spans="2:14" ht="17.45" customHeight="1" x14ac:dyDescent="0.25">
      <c r="C124" s="211"/>
      <c r="D124" s="212"/>
      <c r="E124" s="210" t="s">
        <v>197</v>
      </c>
      <c r="F124" s="210" t="s">
        <v>198</v>
      </c>
      <c r="H124" s="26"/>
      <c r="I124" s="210" t="s">
        <v>251</v>
      </c>
      <c r="K124" s="26" t="s">
        <v>252</v>
      </c>
      <c r="L124" s="26" t="s">
        <v>252</v>
      </c>
    </row>
    <row r="125" spans="2:14" x14ac:dyDescent="0.25">
      <c r="C125" s="85" t="s">
        <v>5</v>
      </c>
      <c r="D125" s="86"/>
      <c r="E125" s="86">
        <v>13.428000000000001</v>
      </c>
      <c r="F125" s="86">
        <f>F126+F127</f>
        <v>13.821</v>
      </c>
      <c r="I125" s="86">
        <v>11.247999999999999</v>
      </c>
      <c r="K125">
        <f>I125</f>
        <v>11.247999999999999</v>
      </c>
      <c r="L125" s="237">
        <v>12.226000000000001</v>
      </c>
    </row>
    <row r="126" spans="2:14" x14ac:dyDescent="0.25">
      <c r="C126" s="85" t="s">
        <v>15</v>
      </c>
      <c r="D126" s="86"/>
      <c r="E126" s="86">
        <v>0.32</v>
      </c>
      <c r="F126" s="86">
        <f>E126</f>
        <v>0.32</v>
      </c>
      <c r="I126" s="86">
        <v>0.32</v>
      </c>
      <c r="K126">
        <f t="shared" ref="K126:K132" si="29">I126</f>
        <v>0.32</v>
      </c>
      <c r="L126" s="86">
        <v>0.32</v>
      </c>
      <c r="N126" s="34" t="s">
        <v>238</v>
      </c>
    </row>
    <row r="127" spans="2:14" x14ac:dyDescent="0.25">
      <c r="C127" s="87" t="s">
        <v>16</v>
      </c>
      <c r="D127" s="86"/>
      <c r="E127" s="86">
        <f>E125-E126</f>
        <v>13.108000000000001</v>
      </c>
      <c r="F127" s="86">
        <v>13.500999999999999</v>
      </c>
      <c r="H127" s="233"/>
      <c r="I127" s="86">
        <f>I125-I126</f>
        <v>10.927999999999999</v>
      </c>
      <c r="K127">
        <f t="shared" si="29"/>
        <v>10.927999999999999</v>
      </c>
      <c r="L127" s="86">
        <f>L125-L126</f>
        <v>11.906000000000001</v>
      </c>
      <c r="N127" s="34" t="s">
        <v>248</v>
      </c>
    </row>
    <row r="128" spans="2:14" x14ac:dyDescent="0.25">
      <c r="C128" s="88" t="s">
        <v>17</v>
      </c>
      <c r="D128" s="86"/>
      <c r="E128" s="208">
        <v>0.10133</v>
      </c>
      <c r="F128" s="86">
        <v>0.10437</v>
      </c>
      <c r="H128" s="234"/>
      <c r="I128" s="208">
        <v>0.11705</v>
      </c>
      <c r="K128" s="76">
        <f>I128</f>
        <v>0.11705</v>
      </c>
      <c r="L128" s="208">
        <v>0.11744</v>
      </c>
      <c r="M128" s="78"/>
    </row>
    <row r="129" spans="3:20" x14ac:dyDescent="0.25">
      <c r="C129" s="88"/>
      <c r="D129" s="86"/>
      <c r="E129" s="86"/>
      <c r="F129" s="86"/>
      <c r="I129" s="209"/>
      <c r="L129" s="209"/>
    </row>
    <row r="130" spans="3:20" x14ac:dyDescent="0.25">
      <c r="C130" s="85" t="s">
        <v>105</v>
      </c>
      <c r="D130" s="86"/>
      <c r="E130" s="208">
        <f>J88</f>
        <v>6.28E-3</v>
      </c>
      <c r="F130" s="208">
        <f>E130</f>
        <v>6.28E-3</v>
      </c>
      <c r="I130" s="238">
        <f>0.265/100</f>
        <v>2.65E-3</v>
      </c>
      <c r="K130">
        <f t="shared" si="29"/>
        <v>2.65E-3</v>
      </c>
      <c r="L130" s="238">
        <f>0.265/100</f>
        <v>2.65E-3</v>
      </c>
    </row>
    <row r="131" spans="3:20" x14ac:dyDescent="0.25">
      <c r="C131" s="85" t="s">
        <v>102</v>
      </c>
      <c r="D131" s="86"/>
      <c r="E131" s="208">
        <f>1.07/1000</f>
        <v>1.07E-3</v>
      </c>
      <c r="F131" s="208">
        <f>E131</f>
        <v>1.07E-3</v>
      </c>
      <c r="I131" s="238">
        <v>1.0499999999999999E-3</v>
      </c>
      <c r="K131">
        <f t="shared" si="29"/>
        <v>1.0499999999999999E-3</v>
      </c>
      <c r="L131" s="238">
        <f>K131</f>
        <v>1.0499999999999999E-3</v>
      </c>
      <c r="M131" s="95"/>
    </row>
    <row r="132" spans="3:20" ht="13.5" customHeight="1" x14ac:dyDescent="0.25">
      <c r="C132" s="85" t="s">
        <v>104</v>
      </c>
      <c r="D132" s="86"/>
      <c r="E132" s="208">
        <f>E131+E130</f>
        <v>7.3499999999999998E-3</v>
      </c>
      <c r="F132" s="208">
        <f>F131+F130</f>
        <v>7.3499999999999998E-3</v>
      </c>
      <c r="H132" s="34"/>
      <c r="I132" s="238">
        <f>I131+I130</f>
        <v>3.7000000000000002E-3</v>
      </c>
      <c r="J132" s="94"/>
      <c r="K132" s="76">
        <f t="shared" si="29"/>
        <v>3.7000000000000002E-3</v>
      </c>
      <c r="L132" s="238">
        <f>L131+L130</f>
        <v>3.7000000000000002E-3</v>
      </c>
    </row>
    <row r="133" spans="3:20" x14ac:dyDescent="0.25">
      <c r="C133" s="85"/>
      <c r="D133" s="86"/>
      <c r="E133" s="86"/>
      <c r="F133" s="86"/>
      <c r="I133" s="86"/>
      <c r="L133" s="86"/>
      <c r="T133" s="49"/>
    </row>
    <row r="134" spans="3:20" x14ac:dyDescent="0.25">
      <c r="C134" s="90"/>
      <c r="D134" s="91"/>
      <c r="E134" s="91"/>
      <c r="F134" s="86"/>
      <c r="I134" s="89"/>
      <c r="L134" s="89"/>
      <c r="T134" s="58"/>
    </row>
    <row r="135" spans="3:20" x14ac:dyDescent="0.25">
      <c r="C135" s="232" t="s">
        <v>200</v>
      </c>
      <c r="T135" s="92"/>
    </row>
    <row r="136" spans="3:20" x14ac:dyDescent="0.25">
      <c r="H136" s="26"/>
      <c r="K136" s="26"/>
    </row>
    <row r="137" spans="3:20" x14ac:dyDescent="0.25">
      <c r="C137" s="34" t="s">
        <v>201</v>
      </c>
      <c r="H137" s="26"/>
      <c r="K137" s="26"/>
    </row>
    <row r="138" spans="3:20" x14ac:dyDescent="0.25">
      <c r="D138" t="s">
        <v>202</v>
      </c>
      <c r="E138" s="58">
        <f>'Test Year Load Forecast'!C37*9</f>
        <v>94878</v>
      </c>
      <c r="F138" s="58">
        <f>'Test Year Load Forecast'!C38*3</f>
        <v>31223.540587649426</v>
      </c>
      <c r="G138" s="37">
        <f>F138+E138</f>
        <v>126101.54058764942</v>
      </c>
      <c r="I138" s="37">
        <f>G138</f>
        <v>126101.54058764942</v>
      </c>
      <c r="K138" s="58">
        <f>'Test Year Load Forecast'!C38*12</f>
        <v>124894.1623505977</v>
      </c>
      <c r="L138" s="37">
        <f>K138</f>
        <v>124894.1623505977</v>
      </c>
    </row>
    <row r="139" spans="3:20" x14ac:dyDescent="0.25">
      <c r="D139" t="s">
        <v>17</v>
      </c>
      <c r="E139" s="58">
        <f>'Test Year Load Forecast'!D37</f>
        <v>28590282.569300078</v>
      </c>
      <c r="F139" s="58">
        <f>'Test Year Load Forecast'!D38</f>
        <v>14081780.966968693</v>
      </c>
      <c r="G139" s="37">
        <f>F139+E139</f>
        <v>42672063.536268771</v>
      </c>
      <c r="H139" s="37"/>
      <c r="I139" s="37">
        <f>G139</f>
        <v>42672063.536268771</v>
      </c>
      <c r="K139" s="37">
        <f>'Test Year Load Forecast'!D38+'Test Year Load Forecast'!D39</f>
        <v>42869531.572085589</v>
      </c>
      <c r="L139" s="37">
        <f>K139</f>
        <v>42869531.572085589</v>
      </c>
      <c r="M139" s="37"/>
      <c r="N139" s="35"/>
    </row>
    <row r="141" spans="3:20" x14ac:dyDescent="0.25">
      <c r="D141" t="s">
        <v>203</v>
      </c>
      <c r="E141" s="37">
        <f>E138*E127</f>
        <v>1243660.824</v>
      </c>
      <c r="F141" s="37">
        <f>F138*F127</f>
        <v>421549.0214738549</v>
      </c>
      <c r="G141" s="37">
        <f>F141+E141</f>
        <v>1665209.8454738548</v>
      </c>
      <c r="H141" s="94"/>
      <c r="I141" s="37">
        <f>I138*I127</f>
        <v>1378037.6355418328</v>
      </c>
      <c r="K141" s="143">
        <f>K138*K127</f>
        <v>1364843.4061673316</v>
      </c>
      <c r="L141" s="37">
        <f>L138*L127</f>
        <v>1486989.8969462162</v>
      </c>
      <c r="M141" s="37"/>
    </row>
    <row r="142" spans="3:20" x14ac:dyDescent="0.25">
      <c r="D142" t="s">
        <v>147</v>
      </c>
      <c r="E142" s="37">
        <f>E139*E128</f>
        <v>2897053.3327471768</v>
      </c>
      <c r="F142" s="37">
        <f>F139*F128</f>
        <v>1469715.4795225225</v>
      </c>
      <c r="G142" s="37">
        <f>F142+E142</f>
        <v>4366768.8122696988</v>
      </c>
      <c r="H142" s="35"/>
      <c r="I142" s="37">
        <f>I139*I128</f>
        <v>4994765.0369202597</v>
      </c>
      <c r="K142" s="143">
        <f>K139*K128</f>
        <v>5017878.6705126185</v>
      </c>
      <c r="L142" s="37">
        <f>L139*L128</f>
        <v>5034597.7878257316</v>
      </c>
      <c r="M142" s="37"/>
    </row>
    <row r="143" spans="3:20" ht="15.75" thickBot="1" x14ac:dyDescent="0.3">
      <c r="D143" t="s">
        <v>7</v>
      </c>
      <c r="E143" s="213">
        <f>E141+E142</f>
        <v>4140714.1567471768</v>
      </c>
      <c r="F143" s="213">
        <f>F141+F142</f>
        <v>1891264.5009963773</v>
      </c>
      <c r="G143" s="213">
        <f>G141+G142</f>
        <v>6031978.6577435536</v>
      </c>
      <c r="H143" s="214"/>
      <c r="I143" s="214">
        <f>I141+I142</f>
        <v>6372802.6724620927</v>
      </c>
      <c r="J143" s="37"/>
      <c r="K143" s="214">
        <f>K141+K142</f>
        <v>6382722.0766799506</v>
      </c>
      <c r="L143" s="214">
        <f>L141+L142</f>
        <v>6521587.6847719476</v>
      </c>
      <c r="M143" s="213"/>
    </row>
    <row r="144" spans="3:20" ht="15.75" thickTop="1" x14ac:dyDescent="0.25"/>
    <row r="145" spans="2:14" x14ac:dyDescent="0.25">
      <c r="D145" t="s">
        <v>204</v>
      </c>
      <c r="E145" s="58">
        <f>E132*E139</f>
        <v>210138.57688435557</v>
      </c>
      <c r="F145" s="58">
        <f>F132*F139</f>
        <v>103501.09010721989</v>
      </c>
      <c r="G145" s="37">
        <f>F145+E145</f>
        <v>313639.66699157545</v>
      </c>
      <c r="H145" s="35"/>
      <c r="I145" s="58">
        <f>I132*I139</f>
        <v>157886.63508419445</v>
      </c>
      <c r="J145" s="37"/>
      <c r="K145" s="35">
        <f>K132*K139</f>
        <v>158617.2668167167</v>
      </c>
      <c r="L145" s="58">
        <f>L132*L139</f>
        <v>158617.2668167167</v>
      </c>
      <c r="M145" s="37"/>
      <c r="N145" s="31"/>
    </row>
    <row r="147" spans="2:14" ht="15.75" thickBot="1" x14ac:dyDescent="0.3">
      <c r="D147" t="s">
        <v>205</v>
      </c>
      <c r="G147" s="214">
        <f>G145+G143</f>
        <v>6345618.3247351293</v>
      </c>
      <c r="H147" s="214"/>
      <c r="I147" s="214">
        <f>I145+I143</f>
        <v>6530689.3075462868</v>
      </c>
      <c r="K147" s="214">
        <f>K145+K143</f>
        <v>6541339.3434966672</v>
      </c>
      <c r="L147" s="214">
        <f>L145+L143</f>
        <v>6680204.9515886642</v>
      </c>
      <c r="M147" s="214"/>
    </row>
    <row r="148" spans="2:14" ht="15.75" thickTop="1" x14ac:dyDescent="0.25"/>
    <row r="149" spans="2:14" x14ac:dyDescent="0.25">
      <c r="D149" s="34" t="s">
        <v>243</v>
      </c>
      <c r="I149" s="174">
        <f>I143/G143-1</f>
        <v>5.6502854876816722E-2</v>
      </c>
      <c r="L149" s="174">
        <f>L143/K143-1</f>
        <v>2.1756486718943924E-2</v>
      </c>
    </row>
    <row r="150" spans="2:14" x14ac:dyDescent="0.25">
      <c r="D150" s="34" t="s">
        <v>244</v>
      </c>
      <c r="I150" s="206">
        <f>I145/G145-1</f>
        <v>-0.49659863945578231</v>
      </c>
      <c r="L150" s="206">
        <f>L145/K145-1</f>
        <v>0</v>
      </c>
    </row>
    <row r="152" spans="2:14" x14ac:dyDescent="0.25">
      <c r="D152" t="s">
        <v>247</v>
      </c>
      <c r="I152" s="174">
        <f>I147/G147-1</f>
        <v>2.9165161429541619E-2</v>
      </c>
      <c r="L152" s="174">
        <f>L147/K147-1</f>
        <v>2.1228925881983995E-2</v>
      </c>
    </row>
    <row r="153" spans="2:14" x14ac:dyDescent="0.25">
      <c r="B153" s="34"/>
    </row>
    <row r="154" spans="2:14" x14ac:dyDescent="0.25">
      <c r="B154" s="34"/>
      <c r="D154" t="s">
        <v>275</v>
      </c>
      <c r="I154" s="37">
        <f>I147-G147</f>
        <v>185070.98281115759</v>
      </c>
      <c r="L154" s="37">
        <f>L147-K147</f>
        <v>138865.60809199698</v>
      </c>
    </row>
    <row r="155" spans="2:14" x14ac:dyDescent="0.25">
      <c r="B155" s="34"/>
      <c r="E155" s="26"/>
      <c r="I155" s="26"/>
      <c r="J155" s="26"/>
      <c r="M155" s="26"/>
      <c r="N155" s="26"/>
    </row>
    <row r="156" spans="2:14" x14ac:dyDescent="0.25">
      <c r="D156" s="2"/>
      <c r="E156" s="37"/>
      <c r="I156" s="37"/>
      <c r="J156" s="37"/>
      <c r="M156" s="37"/>
      <c r="N156" s="37"/>
    </row>
    <row r="157" spans="2:14" x14ac:dyDescent="0.25">
      <c r="D157" s="2"/>
      <c r="E157" s="37"/>
      <c r="I157" s="37"/>
      <c r="J157" s="37"/>
      <c r="M157" s="37"/>
      <c r="N157" s="37"/>
    </row>
    <row r="159" spans="2:14" x14ac:dyDescent="0.25">
      <c r="E159" s="37"/>
      <c r="I159" s="37"/>
      <c r="J159" s="37"/>
      <c r="M159" s="37"/>
      <c r="N159" s="37"/>
    </row>
    <row r="160" spans="2:14" x14ac:dyDescent="0.25">
      <c r="I160" s="38"/>
      <c r="J160" s="38"/>
      <c r="M160" s="38"/>
      <c r="N160" s="38"/>
    </row>
    <row r="162" spans="9:14" x14ac:dyDescent="0.25">
      <c r="I162" s="39"/>
      <c r="J162" s="39"/>
      <c r="M162" s="39"/>
      <c r="N162" s="39"/>
    </row>
  </sheetData>
  <mergeCells count="3">
    <mergeCell ref="E123:F123"/>
    <mergeCell ref="H122:I122"/>
    <mergeCell ref="K122:L122"/>
  </mergeCells>
  <pageMargins left="0.7" right="0.7" top="0.75" bottom="0.75" header="0.3" footer="0.3"/>
  <pageSetup scale="8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9C8B0D807D1B4F867F89810378AECF" ma:contentTypeVersion="17" ma:contentTypeDescription="Create a new document." ma:contentTypeScope="" ma:versionID="9a3a8346a19b9c2d7bd69465a7a65e26">
  <xsd:schema xmlns:xsd="http://www.w3.org/2001/XMLSchema" xmlns:xs="http://www.w3.org/2001/XMLSchema" xmlns:p="http://schemas.microsoft.com/office/2006/metadata/properties" xmlns:ns2="cbb161cf-6026-4e69-920a-d5a81f212c92" xmlns:ns3="f9f33ae3-92e0-4786-a8d7-31a7da7346be" targetNamespace="http://schemas.microsoft.com/office/2006/metadata/properties" ma:root="true" ma:fieldsID="97304d1be15b9551f31e52161a994846" ns2:_="" ns3:_="">
    <xsd:import namespace="cbb161cf-6026-4e69-920a-d5a81f212c92"/>
    <xsd:import namespace="f9f33ae3-92e0-4786-a8d7-31a7da7346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b161cf-6026-4e69-920a-d5a81f212c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097a1cc-f5f9-45ef-81d9-0d99391681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f33ae3-92e0-4786-a8d7-31a7da7346be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4654bba8-b67e-4657-a47a-72707f440d29}" ma:internalName="TaxCatchAll" ma:showField="CatchAllData" ma:web="f9f33ae3-92e0-4786-a8d7-31a7da7346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9f33ae3-92e0-4786-a8d7-31a7da7346be" xsi:nil="true"/>
    <lcf76f155ced4ddcb4097134ff3c332f xmlns="cbb161cf-6026-4e69-920a-d5a81f212c9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5851C0E-05CF-47FA-AF66-6275801891B7}"/>
</file>

<file path=customXml/itemProps2.xml><?xml version="1.0" encoding="utf-8"?>
<ds:datastoreItem xmlns:ds="http://schemas.openxmlformats.org/officeDocument/2006/customXml" ds:itemID="{DE9731CC-EEEC-4297-8E5E-454732299B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BEBB18-420F-45ED-A9DC-7610AC235F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Retail Rates 2027</vt:lpstr>
      <vt:lpstr>Retail Rates 2026</vt:lpstr>
      <vt:lpstr>Load Forecast for GRA 2025-26</vt:lpstr>
      <vt:lpstr>Test Year Load Forecast</vt:lpstr>
      <vt:lpstr>Data and Sources</vt:lpstr>
      <vt:lpstr>'Data and Sources'!Print_Area</vt:lpstr>
      <vt:lpstr>'Retail Rates 2026'!Print_Area</vt:lpstr>
      <vt:lpstr>'Retail Rates 2027'!Print_Area</vt:lpstr>
      <vt:lpstr>'Data and Sources'!Print_Titles</vt:lpstr>
      <vt:lpstr>'Retail Rates 2026'!Print_Titles</vt:lpstr>
      <vt:lpstr>'Retail Rates 2027'!Print_Titles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Lisa Dagley</cp:lastModifiedBy>
  <cp:lastPrinted>2023-12-19T12:25:09Z</cp:lastPrinted>
  <dcterms:created xsi:type="dcterms:W3CDTF">2023-07-13T12:16:18Z</dcterms:created>
  <dcterms:modified xsi:type="dcterms:W3CDTF">2026-07-03T10:39:04Z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0x010100329C8B0D807D1B4F867F89810378AECF</vt:lpwstr>
  </property>
</Properties>
</file>