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oweradvisoryllc-my.sharepoint.com/personal/ablair_poweradvisoryllc_com/Documents/Documents/NS IESO/Models for Stakeholder Session/"/>
    </mc:Choice>
  </mc:AlternateContent>
  <xr:revisionPtr revIDLastSave="80" documentId="8_{90842B66-79D7-47C8-AA9B-5D01910EEF2C}" xr6:coauthVersionLast="47" xr6:coauthVersionMax="47" xr10:uidLastSave="{DCBC4B39-DB55-441B-A799-BA67695B7EC9}"/>
  <bookViews>
    <workbookView xWindow="-28920" yWindow="-120" windowWidth="29040" windowHeight="15720" tabRatio="847" xr2:uid="{9606C159-1D63-4F25-A07B-FA67B8DD1413}"/>
  </bookViews>
  <sheets>
    <sheet name="Input" sheetId="1" r:id="rId1"/>
    <sheet name="Initial Fee Calculation" sheetId="4" r:id="rId2"/>
    <sheet name="Fee Recovery Calculation" sheetId="13" r:id="rId3"/>
    <sheet name="Fee Recovery Calculation by MP" sheetId="19" r:id="rId4"/>
    <sheet name="Fee Recovery by MP w True-Up " sheetId="14" r:id="rId5"/>
    <sheet name="Illust. True-Up (2 year lag)" sheetId="18" r:id="rId6"/>
    <sheet name="Illust. True-Up (Compliance)" sheetId="17" r:id="rId7"/>
  </sheets>
  <definedNames>
    <definedName name="_Key1" hidden="1">#REF!</definedName>
    <definedName name="_Order1" hidden="1">255</definedName>
    <definedName name="_Sort" hidden="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39993.5445601852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sencount" hidden="1">1</definedName>
  </definedNames>
  <calcPr calcId="191029" iterate="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12" i="1" l="1"/>
  <c r="C14" i="1" l="1"/>
  <c r="C15" i="1"/>
  <c r="C16" i="1"/>
  <c r="C13" i="1"/>
  <c r="C7" i="4"/>
  <c r="C8" i="4"/>
  <c r="C9" i="4"/>
  <c r="C10" i="4"/>
  <c r="C11" i="4"/>
  <c r="C12" i="4"/>
  <c r="C13" i="4"/>
  <c r="C14" i="4"/>
  <c r="K31" i="1" l="1"/>
  <c r="J31" i="1"/>
  <c r="L28" i="1"/>
  <c r="L29" i="1"/>
  <c r="L30" i="1"/>
  <c r="L27" i="1"/>
  <c r="N27" i="13"/>
  <c r="AN23" i="19"/>
  <c r="AN22" i="19"/>
  <c r="AN21" i="19"/>
  <c r="AN20" i="19"/>
  <c r="AN19" i="19"/>
  <c r="AN18" i="19"/>
  <c r="AN17" i="19"/>
  <c r="AN16" i="19"/>
  <c r="AN15" i="19"/>
  <c r="AN14" i="19"/>
  <c r="AG2" i="19"/>
  <c r="AA2" i="19"/>
  <c r="U2" i="19"/>
  <c r="U1" i="19" s="1"/>
  <c r="O2" i="19"/>
  <c r="O1" i="19" s="1"/>
  <c r="S3" i="19" s="1"/>
  <c r="I2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B5" i="19"/>
  <c r="B6" i="19" s="1"/>
  <c r="B7" i="19" s="1"/>
  <c r="B8" i="19" s="1"/>
  <c r="B9" i="19" s="1"/>
  <c r="B10" i="19" s="1"/>
  <c r="B11" i="19" s="1"/>
  <c r="B12" i="19" s="1"/>
  <c r="B13" i="19" s="1"/>
  <c r="B14" i="19" s="1"/>
  <c r="B15" i="19" s="1"/>
  <c r="B16" i="19" s="1"/>
  <c r="B17" i="19" s="1"/>
  <c r="B18" i="19" s="1"/>
  <c r="B19" i="19" s="1"/>
  <c r="B20" i="19" s="1"/>
  <c r="B21" i="19" s="1"/>
  <c r="B22" i="19" s="1"/>
  <c r="B23" i="19" s="1"/>
  <c r="B24" i="19" s="1"/>
  <c r="F4" i="19"/>
  <c r="AO3" i="19"/>
  <c r="AN3" i="19"/>
  <c r="AM3" i="19"/>
  <c r="AK3" i="19"/>
  <c r="AJ3" i="19"/>
  <c r="AG3" i="19"/>
  <c r="AE3" i="19"/>
  <c r="AD3" i="19"/>
  <c r="AA3" i="19"/>
  <c r="L31" i="1" l="1"/>
  <c r="C12" i="1" s="1"/>
  <c r="Y3" i="19"/>
  <c r="U3" i="19"/>
  <c r="X3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R3" i="19"/>
  <c r="O3" i="19"/>
  <c r="C22" i="1" l="1"/>
  <c r="C6" i="4"/>
  <c r="E31" i="17"/>
  <c r="E32" i="18"/>
  <c r="E32" i="17"/>
  <c r="E33" i="18"/>
  <c r="E14" i="1"/>
  <c r="E15" i="1"/>
  <c r="E16" i="1"/>
  <c r="E13" i="1"/>
  <c r="J17" i="13"/>
  <c r="B18" i="13"/>
  <c r="N18" i="13"/>
  <c r="N19" i="13" s="1"/>
  <c r="B19" i="13"/>
  <c r="B20" i="13"/>
  <c r="B21" i="13"/>
  <c r="B22" i="13"/>
  <c r="B23" i="13"/>
  <c r="B24" i="13"/>
  <c r="B25" i="13"/>
  <c r="B26" i="13"/>
  <c r="H27" i="13"/>
  <c r="N20" i="13" l="1"/>
  <c r="N21" i="13" l="1"/>
  <c r="N22" i="13" l="1"/>
  <c r="N23" i="13" l="1"/>
  <c r="N24" i="13" l="1"/>
  <c r="N25" i="13" l="1"/>
  <c r="N26" i="13" l="1"/>
  <c r="I5" i="4" l="1"/>
  <c r="E101" i="17"/>
  <c r="J59" i="17"/>
  <c r="J60" i="17"/>
  <c r="J61" i="17"/>
  <c r="J62" i="17"/>
  <c r="L90" i="17"/>
  <c r="L91" i="17"/>
  <c r="L92" i="17"/>
  <c r="L93" i="17"/>
  <c r="L94" i="17"/>
  <c r="L95" i="17"/>
  <c r="L96" i="17"/>
  <c r="L97" i="17"/>
  <c r="L89" i="17"/>
  <c r="L55" i="17"/>
  <c r="L56" i="17"/>
  <c r="L57" i="17"/>
  <c r="L58" i="17"/>
  <c r="L54" i="17"/>
  <c r="L40" i="18" l="1"/>
  <c r="Q39" i="18"/>
  <c r="L39" i="18"/>
  <c r="L41" i="18"/>
  <c r="L42" i="18"/>
  <c r="L43" i="18"/>
  <c r="L44" i="18"/>
  <c r="J19" i="18"/>
  <c r="P50" i="18"/>
  <c r="P39" i="18"/>
  <c r="K19" i="18"/>
  <c r="L99" i="17"/>
  <c r="K18" i="17"/>
  <c r="P53" i="17"/>
  <c r="D50" i="18"/>
  <c r="E48" i="18"/>
  <c r="P48" i="18" s="1"/>
  <c r="E47" i="18"/>
  <c r="P47" i="18" s="1"/>
  <c r="E46" i="18"/>
  <c r="P46" i="18" s="1"/>
  <c r="E45" i="18"/>
  <c r="P45" i="18" s="1"/>
  <c r="E44" i="18"/>
  <c r="P44" i="18" s="1"/>
  <c r="E43" i="18"/>
  <c r="P43" i="18" s="1"/>
  <c r="E42" i="18"/>
  <c r="P42" i="18" s="1"/>
  <c r="E41" i="18"/>
  <c r="P41" i="18" s="1"/>
  <c r="E40" i="18"/>
  <c r="P40" i="18" s="1"/>
  <c r="C15" i="18"/>
  <c r="C30" i="18" s="1"/>
  <c r="C50" i="18" s="1"/>
  <c r="D94" i="17"/>
  <c r="E79" i="17"/>
  <c r="E99" i="17"/>
  <c r="D97" i="17"/>
  <c r="D96" i="17"/>
  <c r="D95" i="17"/>
  <c r="D93" i="17"/>
  <c r="D92" i="17"/>
  <c r="D91" i="17"/>
  <c r="D90" i="17"/>
  <c r="D89" i="17"/>
  <c r="Q88" i="17"/>
  <c r="P88" i="17"/>
  <c r="D84" i="17"/>
  <c r="E82" i="17"/>
  <c r="E81" i="17"/>
  <c r="E80" i="17"/>
  <c r="E78" i="17"/>
  <c r="E77" i="17"/>
  <c r="E76" i="17"/>
  <c r="E75" i="17"/>
  <c r="E74" i="17"/>
  <c r="E64" i="17"/>
  <c r="Q53" i="17"/>
  <c r="D53" i="17"/>
  <c r="J88" i="17" s="1"/>
  <c r="C15" i="17"/>
  <c r="C49" i="17" s="1"/>
  <c r="C64" i="17" s="1"/>
  <c r="C84" i="17" s="1"/>
  <c r="C99" i="17" s="1"/>
  <c r="B9" i="13"/>
  <c r="B10" i="13"/>
  <c r="B11" i="13"/>
  <c r="B12" i="13"/>
  <c r="B5" i="13"/>
  <c r="B6" i="13"/>
  <c r="B7" i="13"/>
  <c r="B8" i="13"/>
  <c r="B4" i="13"/>
  <c r="B7" i="4"/>
  <c r="C6" i="18" s="1"/>
  <c r="C21" i="18" s="1"/>
  <c r="C41" i="18" s="1"/>
  <c r="B8" i="4"/>
  <c r="C7" i="17" s="1"/>
  <c r="C41" i="17" s="1"/>
  <c r="C56" i="17" s="1"/>
  <c r="C76" i="17" s="1"/>
  <c r="C91" i="17" s="1"/>
  <c r="B9" i="4"/>
  <c r="C8" i="17" s="1"/>
  <c r="C42" i="17" s="1"/>
  <c r="C57" i="17" s="1"/>
  <c r="C77" i="17" s="1"/>
  <c r="C92" i="17" s="1"/>
  <c r="B10" i="4"/>
  <c r="C9" i="17" s="1"/>
  <c r="C43" i="17" s="1"/>
  <c r="C58" i="17" s="1"/>
  <c r="C78" i="17" s="1"/>
  <c r="C93" i="17" s="1"/>
  <c r="B11" i="4"/>
  <c r="C10" i="17" s="1"/>
  <c r="C44" i="17" s="1"/>
  <c r="C59" i="17" s="1"/>
  <c r="C79" i="17" s="1"/>
  <c r="C94" i="17" s="1"/>
  <c r="B12" i="4"/>
  <c r="C11" i="18" s="1"/>
  <c r="C26" i="18" s="1"/>
  <c r="C46" i="18" s="1"/>
  <c r="B13" i="4"/>
  <c r="C12" i="18" s="1"/>
  <c r="C27" i="18" s="1"/>
  <c r="C47" i="18" s="1"/>
  <c r="B14" i="4"/>
  <c r="C13" i="18" s="1"/>
  <c r="C28" i="18" s="1"/>
  <c r="C48" i="18" s="1"/>
  <c r="B6" i="4"/>
  <c r="C5" i="18" s="1"/>
  <c r="C4" i="4"/>
  <c r="F4" i="4"/>
  <c r="F3" i="4"/>
  <c r="C3" i="4"/>
  <c r="C7" i="18" l="1"/>
  <c r="C22" i="18" s="1"/>
  <c r="C42" i="18" s="1"/>
  <c r="C8" i="18"/>
  <c r="C23" i="18" s="1"/>
  <c r="C43" i="18" s="1"/>
  <c r="C9" i="18"/>
  <c r="C24" i="18" s="1"/>
  <c r="C44" i="18" s="1"/>
  <c r="C11" i="17"/>
  <c r="C45" i="17" s="1"/>
  <c r="C60" i="17" s="1"/>
  <c r="C80" i="17" s="1"/>
  <c r="C95" i="17" s="1"/>
  <c r="C12" i="17"/>
  <c r="C46" i="17" s="1"/>
  <c r="C61" i="17" s="1"/>
  <c r="C81" i="17" s="1"/>
  <c r="C96" i="17" s="1"/>
  <c r="C13" i="17"/>
  <c r="C47" i="17" s="1"/>
  <c r="C62" i="17" s="1"/>
  <c r="C82" i="17" s="1"/>
  <c r="C97" i="17" s="1"/>
  <c r="C10" i="18"/>
  <c r="C25" i="18" s="1"/>
  <c r="C45" i="18" s="1"/>
  <c r="C5" i="17"/>
  <c r="C39" i="17" s="1"/>
  <c r="C54" i="17" s="1"/>
  <c r="C74" i="17" s="1"/>
  <c r="C89" i="17" s="1"/>
  <c r="C6" i="17"/>
  <c r="C40" i="17" s="1"/>
  <c r="C55" i="17" s="1"/>
  <c r="C75" i="17" s="1"/>
  <c r="C90" i="17" s="1"/>
  <c r="L62" i="17"/>
  <c r="L61" i="17"/>
  <c r="L60" i="17"/>
  <c r="L59" i="17"/>
  <c r="P64" i="17"/>
  <c r="E103" i="17"/>
  <c r="H99" i="17" s="1"/>
  <c r="C20" i="18"/>
  <c r="C40" i="18" s="1"/>
  <c r="C24" i="17"/>
  <c r="G64" i="17"/>
  <c r="C21" i="17"/>
  <c r="C23" i="17"/>
  <c r="C22" i="17"/>
  <c r="C29" i="17"/>
  <c r="E89" i="17"/>
  <c r="P89" i="17" s="1"/>
  <c r="E91" i="17"/>
  <c r="P91" i="17" s="1"/>
  <c r="E96" i="17"/>
  <c r="P96" i="17" s="1"/>
  <c r="E93" i="17"/>
  <c r="P93" i="17" s="1"/>
  <c r="E90" i="17"/>
  <c r="P90" i="17" s="1"/>
  <c r="E97" i="17"/>
  <c r="P97" i="17" s="1"/>
  <c r="E92" i="17"/>
  <c r="P92" i="17" s="1"/>
  <c r="E94" i="17"/>
  <c r="P94" i="17" s="1"/>
  <c r="E95" i="17"/>
  <c r="P95" i="17" s="1"/>
  <c r="P99" i="17"/>
  <c r="D99" i="17"/>
  <c r="C26" i="17" l="1"/>
  <c r="C27" i="17"/>
  <c r="C19" i="17"/>
  <c r="C25" i="17"/>
  <c r="C20" i="17"/>
  <c r="L64" i="17"/>
  <c r="F11" i="4" l="1"/>
  <c r="F12" i="4"/>
  <c r="F13" i="4"/>
  <c r="F14" i="4"/>
  <c r="J4" i="13" l="1"/>
  <c r="H13" i="13"/>
  <c r="L4" i="4"/>
  <c r="I4" i="4"/>
  <c r="L3" i="4"/>
  <c r="K3" i="4"/>
  <c r="F10" i="4"/>
  <c r="F9" i="4"/>
  <c r="F8" i="4"/>
  <c r="F7" i="4"/>
  <c r="E12" i="1"/>
  <c r="AP36" i="14" l="1"/>
  <c r="AP37" i="14"/>
  <c r="T37" i="14"/>
  <c r="AP38" i="14"/>
  <c r="T38" i="14"/>
  <c r="AP39" i="14"/>
  <c r="T39" i="14"/>
  <c r="AI36" i="14"/>
  <c r="AO36" i="14"/>
  <c r="AI37" i="14"/>
  <c r="M36" i="14"/>
  <c r="AO37" i="14"/>
  <c r="T36" i="14"/>
  <c r="AI38" i="14"/>
  <c r="N36" i="14"/>
  <c r="AO38" i="14"/>
  <c r="N37" i="14"/>
  <c r="U38" i="14"/>
  <c r="U39" i="14"/>
  <c r="AI39" i="14"/>
  <c r="AO39" i="14"/>
  <c r="AB36" i="14"/>
  <c r="N38" i="14"/>
  <c r="AH36" i="14"/>
  <c r="AA38" i="14"/>
  <c r="AB37" i="14"/>
  <c r="N39" i="14"/>
  <c r="AH37" i="14"/>
  <c r="AH38" i="14"/>
  <c r="AH39" i="14"/>
  <c r="AA37" i="14"/>
  <c r="AB38" i="14"/>
  <c r="AB39" i="14"/>
  <c r="U36" i="14"/>
  <c r="AA36" i="14"/>
  <c r="U37" i="14"/>
  <c r="AA39" i="14"/>
  <c r="R38" i="19"/>
  <c r="AJ36" i="19"/>
  <c r="AD36" i="19"/>
  <c r="AN37" i="19"/>
  <c r="AP37" i="19" s="1"/>
  <c r="R39" i="19"/>
  <c r="K39" i="19"/>
  <c r="AD39" i="19"/>
  <c r="L38" i="19"/>
  <c r="L39" i="19"/>
  <c r="AD37" i="19"/>
  <c r="AN38" i="19"/>
  <c r="AP38" i="19" s="1"/>
  <c r="X37" i="19"/>
  <c r="K36" i="19"/>
  <c r="AN36" i="19"/>
  <c r="AP36" i="19" s="1"/>
  <c r="K38" i="19"/>
  <c r="R36" i="19"/>
  <c r="AJ38" i="19"/>
  <c r="AJ39" i="19"/>
  <c r="X39" i="19"/>
  <c r="R37" i="19"/>
  <c r="X36" i="19"/>
  <c r="AJ37" i="19"/>
  <c r="L36" i="19"/>
  <c r="AD38" i="19"/>
  <c r="L37" i="19"/>
  <c r="AN39" i="19"/>
  <c r="AP39" i="19" s="1"/>
  <c r="X38" i="19"/>
  <c r="K37" i="19"/>
  <c r="E22" i="1"/>
  <c r="J5" i="13"/>
  <c r="Q37" i="19" s="1"/>
  <c r="K4" i="4"/>
  <c r="M4" i="4" s="1"/>
  <c r="Q39" i="19" l="1"/>
  <c r="Q36" i="19"/>
  <c r="Q38" i="19"/>
  <c r="J37" i="19"/>
  <c r="J38" i="19"/>
  <c r="J39" i="19"/>
  <c r="J36" i="19"/>
  <c r="F38" i="19"/>
  <c r="F36" i="19"/>
  <c r="F37" i="19"/>
  <c r="F39" i="19"/>
  <c r="C16" i="4"/>
  <c r="D12" i="4" s="1"/>
  <c r="G25" i="17" s="1"/>
  <c r="D20" i="18"/>
  <c r="E20" i="18" s="1"/>
  <c r="J20" i="18" s="1"/>
  <c r="D42" i="17"/>
  <c r="D41" i="17"/>
  <c r="D40" i="17"/>
  <c r="D27" i="18"/>
  <c r="E27" i="18" s="1"/>
  <c r="J27" i="18" s="1"/>
  <c r="D26" i="18"/>
  <c r="E26" i="18" s="1"/>
  <c r="J26" i="18" s="1"/>
  <c r="D21" i="18"/>
  <c r="E21" i="18" s="1"/>
  <c r="J21" i="18" s="1"/>
  <c r="D44" i="17"/>
  <c r="D28" i="18"/>
  <c r="E28" i="18" s="1"/>
  <c r="J28" i="18" s="1"/>
  <c r="D25" i="18"/>
  <c r="E25" i="18" s="1"/>
  <c r="J25" i="18" s="1"/>
  <c r="D24" i="18"/>
  <c r="E24" i="18" s="1"/>
  <c r="J24" i="18" s="1"/>
  <c r="D46" i="17"/>
  <c r="D45" i="17"/>
  <c r="D23" i="18"/>
  <c r="E23" i="18" s="1"/>
  <c r="J23" i="18" s="1"/>
  <c r="D22" i="18"/>
  <c r="E22" i="18" s="1"/>
  <c r="J22" i="18" s="1"/>
  <c r="D47" i="17"/>
  <c r="D43" i="17"/>
  <c r="D39" i="17"/>
  <c r="D22" i="1"/>
  <c r="F6" i="4"/>
  <c r="F16" i="4" s="1"/>
  <c r="J6" i="13"/>
  <c r="D14" i="4" l="1"/>
  <c r="D7" i="4"/>
  <c r="D6" i="4"/>
  <c r="D9" i="4"/>
  <c r="D8" i="4"/>
  <c r="D11" i="4"/>
  <c r="D10" i="4"/>
  <c r="D13" i="4"/>
  <c r="W37" i="19"/>
  <c r="W39" i="19"/>
  <c r="W36" i="19"/>
  <c r="W38" i="19"/>
  <c r="J7" i="13"/>
  <c r="C10" i="13"/>
  <c r="G26" i="18" s="1"/>
  <c r="C24" i="13"/>
  <c r="J24" i="13" s="1"/>
  <c r="E14" i="4"/>
  <c r="D26" i="13" s="1"/>
  <c r="J30" i="18"/>
  <c r="E12" i="4"/>
  <c r="D24" i="13" s="1"/>
  <c r="E39" i="17"/>
  <c r="D54" i="17"/>
  <c r="E44" i="17"/>
  <c r="D59" i="17"/>
  <c r="J94" i="17" s="1"/>
  <c r="E43" i="17"/>
  <c r="D58" i="17"/>
  <c r="J93" i="17" s="1"/>
  <c r="D55" i="17"/>
  <c r="J90" i="17" s="1"/>
  <c r="E40" i="17"/>
  <c r="D62" i="17"/>
  <c r="J97" i="17" s="1"/>
  <c r="E47" i="17"/>
  <c r="E41" i="17"/>
  <c r="D56" i="17"/>
  <c r="J91" i="17" s="1"/>
  <c r="D57" i="17"/>
  <c r="J92" i="17" s="1"/>
  <c r="E42" i="17"/>
  <c r="E45" i="17"/>
  <c r="D60" i="17"/>
  <c r="J95" i="17" s="1"/>
  <c r="E46" i="17"/>
  <c r="D61" i="17"/>
  <c r="J96" i="17" s="1"/>
  <c r="C12" i="13"/>
  <c r="G28" i="18" s="1"/>
  <c r="G10" i="4"/>
  <c r="G13" i="4"/>
  <c r="G8" i="4"/>
  <c r="G9" i="4"/>
  <c r="G11" i="4"/>
  <c r="G7" i="4"/>
  <c r="G14" i="4"/>
  <c r="G12" i="4"/>
  <c r="G6" i="4"/>
  <c r="C18" i="13" l="1"/>
  <c r="G19" i="17"/>
  <c r="E13" i="4"/>
  <c r="K13" i="4" s="1"/>
  <c r="G26" i="17"/>
  <c r="C22" i="13"/>
  <c r="G23" i="17"/>
  <c r="C9" i="13"/>
  <c r="G25" i="18" s="1"/>
  <c r="G24" i="17"/>
  <c r="C20" i="13"/>
  <c r="G21" i="17"/>
  <c r="C19" i="13"/>
  <c r="G20" i="17"/>
  <c r="C21" i="13"/>
  <c r="G22" i="17"/>
  <c r="C26" i="13"/>
  <c r="J26" i="13" s="1"/>
  <c r="G27" i="17"/>
  <c r="C7" i="13"/>
  <c r="E11" i="4"/>
  <c r="D23" i="13" s="1"/>
  <c r="C5" i="13"/>
  <c r="D12" i="13"/>
  <c r="C23" i="13"/>
  <c r="J23" i="13" s="1"/>
  <c r="C25" i="13"/>
  <c r="J25" i="13" s="1"/>
  <c r="C6" i="13"/>
  <c r="E7" i="4"/>
  <c r="D19" i="13" s="1"/>
  <c r="C11" i="13"/>
  <c r="G27" i="18" s="1"/>
  <c r="D16" i="4"/>
  <c r="D30" i="18" s="1"/>
  <c r="E9" i="4"/>
  <c r="D21" i="13" s="1"/>
  <c r="E8" i="4"/>
  <c r="D20" i="13" s="1"/>
  <c r="E6" i="4"/>
  <c r="D18" i="13" s="1"/>
  <c r="C4" i="13"/>
  <c r="D25" i="13"/>
  <c r="D11" i="13"/>
  <c r="E10" i="4"/>
  <c r="D22" i="13" s="1"/>
  <c r="D9" i="13"/>
  <c r="K11" i="4"/>
  <c r="K14" i="4"/>
  <c r="C8" i="13"/>
  <c r="AC36" i="19"/>
  <c r="AC39" i="19"/>
  <c r="AC38" i="19"/>
  <c r="AC37" i="19"/>
  <c r="AB38" i="19"/>
  <c r="AB36" i="19"/>
  <c r="AB37" i="19"/>
  <c r="AB39" i="19"/>
  <c r="J8" i="13"/>
  <c r="D10" i="13"/>
  <c r="H13" i="4"/>
  <c r="I13" i="4" s="1"/>
  <c r="G47" i="18"/>
  <c r="L47" i="18" s="1"/>
  <c r="J47" i="18"/>
  <c r="E22" i="13"/>
  <c r="J44" i="18"/>
  <c r="E18" i="13"/>
  <c r="J40" i="18"/>
  <c r="H12" i="4"/>
  <c r="L12" i="4" s="1"/>
  <c r="J46" i="18"/>
  <c r="G46" i="18"/>
  <c r="L46" i="18" s="1"/>
  <c r="H14" i="4"/>
  <c r="J48" i="18"/>
  <c r="G48" i="18"/>
  <c r="L48" i="18" s="1"/>
  <c r="E19" i="13"/>
  <c r="J41" i="18"/>
  <c r="H11" i="4"/>
  <c r="J45" i="18"/>
  <c r="G45" i="18"/>
  <c r="E20" i="13"/>
  <c r="J42" i="18"/>
  <c r="E21" i="13"/>
  <c r="J43" i="18"/>
  <c r="K12" i="4"/>
  <c r="H89" i="17"/>
  <c r="J89" i="17"/>
  <c r="E57" i="17"/>
  <c r="K92" i="17" s="1"/>
  <c r="H92" i="17"/>
  <c r="E55" i="17"/>
  <c r="K90" i="17" s="1"/>
  <c r="H90" i="17"/>
  <c r="E61" i="17"/>
  <c r="K96" i="17" s="1"/>
  <c r="H96" i="17"/>
  <c r="E59" i="17"/>
  <c r="K94" i="17" s="1"/>
  <c r="H94" i="17"/>
  <c r="E62" i="17"/>
  <c r="K97" i="17" s="1"/>
  <c r="H97" i="17"/>
  <c r="E60" i="17"/>
  <c r="K95" i="17" s="1"/>
  <c r="H95" i="17"/>
  <c r="E58" i="17"/>
  <c r="K93" i="17" s="1"/>
  <c r="E56" i="17"/>
  <c r="K91" i="17" s="1"/>
  <c r="H91" i="17"/>
  <c r="D64" i="17"/>
  <c r="E54" i="17"/>
  <c r="K89" i="17" s="1"/>
  <c r="E5" i="13"/>
  <c r="J55" i="17" s="1"/>
  <c r="H7" i="4"/>
  <c r="E7" i="13"/>
  <c r="J57" i="17" s="1"/>
  <c r="H9" i="4"/>
  <c r="E4" i="13"/>
  <c r="J54" i="17" s="1"/>
  <c r="G16" i="4"/>
  <c r="H6" i="4"/>
  <c r="E8" i="13"/>
  <c r="J58" i="17" s="1"/>
  <c r="H10" i="4"/>
  <c r="E6" i="13"/>
  <c r="J56" i="17" s="1"/>
  <c r="H8" i="4"/>
  <c r="C27" i="13" l="1"/>
  <c r="J27" i="13" s="1"/>
  <c r="J18" i="13"/>
  <c r="G20" i="18"/>
  <c r="J20" i="13"/>
  <c r="G22" i="18"/>
  <c r="J19" i="13"/>
  <c r="G21" i="18"/>
  <c r="G24" i="18"/>
  <c r="J22" i="13"/>
  <c r="J21" i="13"/>
  <c r="G23" i="18"/>
  <c r="D4" i="13"/>
  <c r="I11" i="4"/>
  <c r="K8" i="4"/>
  <c r="X14" i="14" s="1"/>
  <c r="K6" i="4"/>
  <c r="I12" i="19" s="1"/>
  <c r="D5" i="13"/>
  <c r="K7" i="4"/>
  <c r="O14" i="19" s="1"/>
  <c r="K9" i="4"/>
  <c r="AA10" i="19" s="1"/>
  <c r="D7" i="13"/>
  <c r="D49" i="17"/>
  <c r="D27" i="13"/>
  <c r="E16" i="4"/>
  <c r="D6" i="13"/>
  <c r="K10" i="4"/>
  <c r="AG13" i="19" s="1"/>
  <c r="D8" i="13"/>
  <c r="C13" i="13"/>
  <c r="L13" i="4"/>
  <c r="M13" i="4" s="1"/>
  <c r="F11" i="13"/>
  <c r="G11" i="13" s="1"/>
  <c r="I11" i="13" s="1"/>
  <c r="M12" i="4"/>
  <c r="AI39" i="19"/>
  <c r="E39" i="19" s="1"/>
  <c r="AI38" i="19"/>
  <c r="E38" i="19" s="1"/>
  <c r="AI37" i="19"/>
  <c r="E37" i="19" s="1"/>
  <c r="AI36" i="19"/>
  <c r="E36" i="19" s="1"/>
  <c r="AH37" i="19"/>
  <c r="AH38" i="19"/>
  <c r="AH39" i="19"/>
  <c r="AH36" i="19"/>
  <c r="J9" i="13"/>
  <c r="J50" i="18"/>
  <c r="I12" i="4"/>
  <c r="F26" i="13"/>
  <c r="K48" i="18"/>
  <c r="F18" i="13"/>
  <c r="K40" i="18"/>
  <c r="F24" i="13"/>
  <c r="K46" i="18"/>
  <c r="E27" i="13"/>
  <c r="L45" i="18"/>
  <c r="L50" i="18" s="1"/>
  <c r="G50" i="18"/>
  <c r="F22" i="13"/>
  <c r="K44" i="18"/>
  <c r="F21" i="13"/>
  <c r="K43" i="18"/>
  <c r="F19" i="13"/>
  <c r="K41" i="18"/>
  <c r="F20" i="13"/>
  <c r="K42" i="18"/>
  <c r="I14" i="4"/>
  <c r="F23" i="13"/>
  <c r="K45" i="18"/>
  <c r="L11" i="4"/>
  <c r="M11" i="4" s="1"/>
  <c r="F12" i="13"/>
  <c r="G12" i="13" s="1"/>
  <c r="I12" i="13" s="1"/>
  <c r="F9" i="13"/>
  <c r="G9" i="13" s="1"/>
  <c r="I9" i="13" s="1"/>
  <c r="L14" i="4"/>
  <c r="M14" i="4" s="1"/>
  <c r="F10" i="13"/>
  <c r="K60" i="17" s="1"/>
  <c r="F25" i="13"/>
  <c r="K47" i="18"/>
  <c r="J64" i="17"/>
  <c r="H93" i="17"/>
  <c r="Q95" i="17"/>
  <c r="Q90" i="17"/>
  <c r="Q92" i="17"/>
  <c r="Q91" i="17"/>
  <c r="P58" i="17"/>
  <c r="P55" i="17"/>
  <c r="P57" i="17"/>
  <c r="P62" i="17"/>
  <c r="P60" i="17"/>
  <c r="P59" i="17"/>
  <c r="Q96" i="17"/>
  <c r="P56" i="17"/>
  <c r="G99" i="17"/>
  <c r="P54" i="17"/>
  <c r="P61" i="17"/>
  <c r="E13" i="13"/>
  <c r="I8" i="4"/>
  <c r="L8" i="4"/>
  <c r="F6" i="13"/>
  <c r="L6" i="4"/>
  <c r="H16" i="4"/>
  <c r="F4" i="13"/>
  <c r="I6" i="4"/>
  <c r="I9" i="4"/>
  <c r="L9" i="4"/>
  <c r="F7" i="13"/>
  <c r="F8" i="13"/>
  <c r="I10" i="4"/>
  <c r="L10" i="4"/>
  <c r="I7" i="4"/>
  <c r="L7" i="4"/>
  <c r="F5" i="13"/>
  <c r="J4" i="14" l="1"/>
  <c r="J13" i="14"/>
  <c r="G30" i="18"/>
  <c r="J10" i="14"/>
  <c r="Q5" i="14"/>
  <c r="J15" i="14"/>
  <c r="J9" i="14"/>
  <c r="J14" i="14"/>
  <c r="X9" i="14"/>
  <c r="J5" i="14"/>
  <c r="I4" i="19"/>
  <c r="M4" i="19" s="1"/>
  <c r="J8" i="14"/>
  <c r="X15" i="14"/>
  <c r="I7" i="19"/>
  <c r="I9" i="19"/>
  <c r="I8" i="19"/>
  <c r="I15" i="19"/>
  <c r="J7" i="14"/>
  <c r="I13" i="19"/>
  <c r="I11" i="19"/>
  <c r="I6" i="19"/>
  <c r="I14" i="19"/>
  <c r="J6" i="14"/>
  <c r="X4" i="14"/>
  <c r="AC4" i="14" s="1"/>
  <c r="U15" i="19"/>
  <c r="Q14" i="14"/>
  <c r="I5" i="19"/>
  <c r="I10" i="19"/>
  <c r="X6" i="14"/>
  <c r="U10" i="19"/>
  <c r="AE6" i="14"/>
  <c r="AE13" i="14"/>
  <c r="U8" i="19"/>
  <c r="AA12" i="19"/>
  <c r="AA6" i="19"/>
  <c r="U11" i="19"/>
  <c r="Q13" i="14"/>
  <c r="Q10" i="14"/>
  <c r="Q8" i="14"/>
  <c r="O8" i="19"/>
  <c r="J11" i="14"/>
  <c r="J12" i="14"/>
  <c r="Q4" i="14"/>
  <c r="V4" i="14" s="1"/>
  <c r="O12" i="19"/>
  <c r="U6" i="19"/>
  <c r="U13" i="19"/>
  <c r="U4" i="19"/>
  <c r="Y4" i="19" s="1"/>
  <c r="U9" i="19"/>
  <c r="X8" i="14"/>
  <c r="U7" i="19"/>
  <c r="X12" i="14"/>
  <c r="X13" i="14"/>
  <c r="U14" i="19"/>
  <c r="U5" i="19"/>
  <c r="X5" i="14"/>
  <c r="X11" i="14"/>
  <c r="U12" i="19"/>
  <c r="X7" i="14"/>
  <c r="X10" i="14"/>
  <c r="Q9" i="14"/>
  <c r="O15" i="19"/>
  <c r="G29" i="17"/>
  <c r="O13" i="19"/>
  <c r="O9" i="19"/>
  <c r="O11" i="19"/>
  <c r="Q12" i="14"/>
  <c r="O5" i="19"/>
  <c r="AA9" i="19"/>
  <c r="AA8" i="19"/>
  <c r="AA13" i="19"/>
  <c r="AA7" i="19"/>
  <c r="AA14" i="19"/>
  <c r="AA5" i="19"/>
  <c r="D13" i="13"/>
  <c r="AE7" i="14"/>
  <c r="AE14" i="14"/>
  <c r="AE12" i="14"/>
  <c r="AE10" i="14"/>
  <c r="Q7" i="14"/>
  <c r="O10" i="19"/>
  <c r="K62" i="17"/>
  <c r="Q11" i="14"/>
  <c r="O6" i="19"/>
  <c r="AE5" i="14"/>
  <c r="AE8" i="14"/>
  <c r="AE15" i="14"/>
  <c r="K61" i="17"/>
  <c r="AA11" i="19"/>
  <c r="O4" i="19"/>
  <c r="S4" i="19" s="1"/>
  <c r="AE4" i="14"/>
  <c r="AJ4" i="14" s="1"/>
  <c r="AE11" i="14"/>
  <c r="Q6" i="14"/>
  <c r="AA4" i="19"/>
  <c r="AE4" i="19" s="1"/>
  <c r="O7" i="19"/>
  <c r="AA15" i="19"/>
  <c r="AE9" i="14"/>
  <c r="Q15" i="14"/>
  <c r="AL12" i="14"/>
  <c r="AL6" i="14"/>
  <c r="AG12" i="19"/>
  <c r="K16" i="4"/>
  <c r="C4" i="19" s="1"/>
  <c r="AG5" i="19"/>
  <c r="AL8" i="14"/>
  <c r="AL11" i="14"/>
  <c r="AL10" i="14"/>
  <c r="AL14" i="14"/>
  <c r="AG10" i="19"/>
  <c r="AL4" i="14"/>
  <c r="AQ4" i="14" s="1"/>
  <c r="AG8" i="19"/>
  <c r="AL9" i="14"/>
  <c r="AG4" i="19"/>
  <c r="AK4" i="19" s="1"/>
  <c r="AG6" i="19"/>
  <c r="AG15" i="19"/>
  <c r="AL15" i="14"/>
  <c r="AG11" i="19"/>
  <c r="AG9" i="19"/>
  <c r="AG7" i="19"/>
  <c r="AL7" i="14"/>
  <c r="AL13" i="14"/>
  <c r="AG14" i="19"/>
  <c r="AL5" i="14"/>
  <c r="O24" i="19"/>
  <c r="O22" i="19"/>
  <c r="O20" i="19"/>
  <c r="O18" i="19"/>
  <c r="O16" i="19"/>
  <c r="O26" i="19"/>
  <c r="O23" i="19"/>
  <c r="O19" i="19"/>
  <c r="O21" i="19"/>
  <c r="O17" i="19"/>
  <c r="O25" i="19"/>
  <c r="O27" i="19"/>
  <c r="AM9" i="19"/>
  <c r="K59" i="17"/>
  <c r="U24" i="19"/>
  <c r="U22" i="19"/>
  <c r="U20" i="19"/>
  <c r="U18" i="19"/>
  <c r="U16" i="19"/>
  <c r="U26" i="19"/>
  <c r="U23" i="19"/>
  <c r="U21" i="19"/>
  <c r="U17" i="19"/>
  <c r="U19" i="19"/>
  <c r="U25" i="19"/>
  <c r="U27" i="19"/>
  <c r="AG24" i="19"/>
  <c r="AG22" i="19"/>
  <c r="AG20" i="19"/>
  <c r="AG18" i="19"/>
  <c r="AG16" i="19"/>
  <c r="AG26" i="19"/>
  <c r="AG23" i="19"/>
  <c r="AG21" i="19"/>
  <c r="AG19" i="19"/>
  <c r="AG17" i="19"/>
  <c r="AG25" i="19"/>
  <c r="AG27" i="19"/>
  <c r="AA24" i="19"/>
  <c r="AA22" i="19"/>
  <c r="AA20" i="19"/>
  <c r="AA18" i="19"/>
  <c r="AA16" i="19"/>
  <c r="AA26" i="19"/>
  <c r="AA27" i="19"/>
  <c r="AA23" i="19"/>
  <c r="AA21" i="19"/>
  <c r="AA19" i="19"/>
  <c r="AA17" i="19"/>
  <c r="AA25" i="19"/>
  <c r="V5" i="14"/>
  <c r="I24" i="19"/>
  <c r="I22" i="19"/>
  <c r="I20" i="19"/>
  <c r="I18" i="19"/>
  <c r="I16" i="19"/>
  <c r="J27" i="14"/>
  <c r="I17" i="19"/>
  <c r="I25" i="19"/>
  <c r="I26" i="19"/>
  <c r="I21" i="19"/>
  <c r="I19" i="19"/>
  <c r="I27" i="19"/>
  <c r="I23" i="19"/>
  <c r="J10" i="13"/>
  <c r="G10" i="13"/>
  <c r="I10" i="13" s="1"/>
  <c r="K10" i="13" s="1"/>
  <c r="G20" i="13"/>
  <c r="I20" i="13" s="1"/>
  <c r="G19" i="13"/>
  <c r="I19" i="13" s="1"/>
  <c r="F27" i="13"/>
  <c r="G22" i="13"/>
  <c r="I22" i="13" s="1"/>
  <c r="G25" i="13"/>
  <c r="I25" i="13" s="1"/>
  <c r="G24" i="13"/>
  <c r="I24" i="13" s="1"/>
  <c r="K50" i="18"/>
  <c r="G23" i="13"/>
  <c r="I23" i="13" s="1"/>
  <c r="G21" i="13"/>
  <c r="I21" i="13" s="1"/>
  <c r="G18" i="13"/>
  <c r="G26" i="13"/>
  <c r="I26" i="13" s="1"/>
  <c r="K55" i="17"/>
  <c r="K56" i="17"/>
  <c r="K58" i="17"/>
  <c r="K54" i="17"/>
  <c r="K57" i="17"/>
  <c r="E34" i="18"/>
  <c r="H30" i="18" s="1"/>
  <c r="E33" i="17"/>
  <c r="H29" i="17" s="1"/>
  <c r="J99" i="17"/>
  <c r="Q97" i="17"/>
  <c r="S97" i="17" s="1"/>
  <c r="T97" i="17" s="1"/>
  <c r="Q94" i="17"/>
  <c r="S94" i="17" s="1"/>
  <c r="T94" i="17" s="1"/>
  <c r="Q93" i="17"/>
  <c r="S95" i="17"/>
  <c r="T95" i="17" s="1"/>
  <c r="S96" i="17"/>
  <c r="T96" i="17" s="1"/>
  <c r="K99" i="17"/>
  <c r="M99" i="17" s="1"/>
  <c r="D10" i="18"/>
  <c r="D10" i="17"/>
  <c r="D13" i="18"/>
  <c r="D13" i="17"/>
  <c r="D12" i="18"/>
  <c r="D12" i="17"/>
  <c r="M9" i="4"/>
  <c r="AE16" i="14"/>
  <c r="AE25" i="14"/>
  <c r="AE18" i="14"/>
  <c r="AE27" i="14"/>
  <c r="AE20" i="14"/>
  <c r="AE22" i="14"/>
  <c r="AE24" i="14"/>
  <c r="AE17" i="14"/>
  <c r="AE26" i="14"/>
  <c r="AE19" i="14"/>
  <c r="AE21" i="14"/>
  <c r="AE23" i="14"/>
  <c r="M7" i="4"/>
  <c r="Q23" i="14"/>
  <c r="Q16" i="14"/>
  <c r="Q25" i="14"/>
  <c r="Q18" i="14"/>
  <c r="Q27" i="14"/>
  <c r="Q20" i="14"/>
  <c r="Q22" i="14"/>
  <c r="Q24" i="14"/>
  <c r="Q17" i="14"/>
  <c r="Q26" i="14"/>
  <c r="Q19" i="14"/>
  <c r="Q21" i="14"/>
  <c r="J21" i="14"/>
  <c r="J23" i="14"/>
  <c r="J16" i="14"/>
  <c r="J25" i="14"/>
  <c r="J18" i="14"/>
  <c r="J20" i="14"/>
  <c r="J22" i="14"/>
  <c r="J24" i="14"/>
  <c r="J17" i="14"/>
  <c r="J26" i="14"/>
  <c r="J19" i="14"/>
  <c r="K9" i="13"/>
  <c r="M10" i="4"/>
  <c r="AL25" i="14"/>
  <c r="AL18" i="14"/>
  <c r="AL27" i="14"/>
  <c r="AL20" i="14"/>
  <c r="AL22" i="14"/>
  <c r="AL24" i="14"/>
  <c r="AL17" i="14"/>
  <c r="AL26" i="14"/>
  <c r="AL19" i="14"/>
  <c r="AL21" i="14"/>
  <c r="AL23" i="14"/>
  <c r="AL16" i="14"/>
  <c r="M8" i="4"/>
  <c r="X23" i="14"/>
  <c r="X16" i="14"/>
  <c r="X25" i="14"/>
  <c r="X18" i="14"/>
  <c r="X27" i="14"/>
  <c r="X20" i="14"/>
  <c r="X22" i="14"/>
  <c r="X24" i="14"/>
  <c r="X17" i="14"/>
  <c r="X26" i="14"/>
  <c r="X19" i="14"/>
  <c r="X21" i="14"/>
  <c r="I16" i="4"/>
  <c r="L16" i="4"/>
  <c r="M6" i="4"/>
  <c r="F13" i="13"/>
  <c r="G4" i="13"/>
  <c r="G6" i="13"/>
  <c r="I6" i="13" s="1"/>
  <c r="G8" i="13"/>
  <c r="I8" i="13" s="1"/>
  <c r="G7" i="13"/>
  <c r="I7" i="13" s="1"/>
  <c r="G5" i="13"/>
  <c r="I5" i="13" s="1"/>
  <c r="V6" i="14" l="1"/>
  <c r="V7" i="14" s="1"/>
  <c r="V8" i="14" s="1"/>
  <c r="V9" i="14" s="1"/>
  <c r="V10" i="14" s="1"/>
  <c r="V11" i="14" s="1"/>
  <c r="V12" i="14" s="1"/>
  <c r="V13" i="14" s="1"/>
  <c r="V14" i="14" s="1"/>
  <c r="V15" i="14" s="1"/>
  <c r="V16" i="14" s="1"/>
  <c r="V17" i="14" s="1"/>
  <c r="V18" i="14" s="1"/>
  <c r="V19" i="14" s="1"/>
  <c r="V20" i="14" s="1"/>
  <c r="V21" i="14" s="1"/>
  <c r="V22" i="14" s="1"/>
  <c r="V23" i="14" s="1"/>
  <c r="AM5" i="19"/>
  <c r="AC5" i="14"/>
  <c r="AC6" i="14" s="1"/>
  <c r="AC7" i="14" s="1"/>
  <c r="AC8" i="14" s="1"/>
  <c r="AC9" i="14" s="1"/>
  <c r="AC10" i="14" s="1"/>
  <c r="AC11" i="14" s="1"/>
  <c r="AC12" i="14" s="1"/>
  <c r="AC13" i="14" s="1"/>
  <c r="AC14" i="14" s="1"/>
  <c r="AC15" i="14" s="1"/>
  <c r="AC16" i="14" s="1"/>
  <c r="AC17" i="14" s="1"/>
  <c r="AC18" i="14" s="1"/>
  <c r="AC19" i="14" s="1"/>
  <c r="AC20" i="14" s="1"/>
  <c r="AC21" i="14" s="1"/>
  <c r="AC22" i="14" s="1"/>
  <c r="AC23" i="14" s="1"/>
  <c r="AJ5" i="14"/>
  <c r="AJ6" i="14" s="1"/>
  <c r="AJ7" i="14" s="1"/>
  <c r="C11" i="14"/>
  <c r="AJ8" i="14"/>
  <c r="C13" i="14"/>
  <c r="C4" i="14"/>
  <c r="AS15" i="14"/>
  <c r="AS6" i="14"/>
  <c r="C7" i="14"/>
  <c r="AM6" i="19"/>
  <c r="C6" i="14"/>
  <c r="AM4" i="19"/>
  <c r="AO4" i="19" s="1"/>
  <c r="AO5" i="19" s="1"/>
  <c r="AS12" i="14"/>
  <c r="C5" i="19"/>
  <c r="C14" i="19"/>
  <c r="AM11" i="19"/>
  <c r="S5" i="19"/>
  <c r="S6" i="19" s="1"/>
  <c r="S7" i="19" s="1"/>
  <c r="S8" i="19" s="1"/>
  <c r="S9" i="19" s="1"/>
  <c r="S10" i="19" s="1"/>
  <c r="S11" i="19" s="1"/>
  <c r="S12" i="19" s="1"/>
  <c r="S13" i="19" s="1"/>
  <c r="S14" i="19" s="1"/>
  <c r="S15" i="19" s="1"/>
  <c r="S16" i="19" s="1"/>
  <c r="S17" i="19" s="1"/>
  <c r="S18" i="19" s="1"/>
  <c r="S19" i="19" s="1"/>
  <c r="S20" i="19" s="1"/>
  <c r="S21" i="19" s="1"/>
  <c r="S22" i="19" s="1"/>
  <c r="S23" i="19" s="1"/>
  <c r="C10" i="19"/>
  <c r="AS5" i="14"/>
  <c r="C15" i="14"/>
  <c r="AM15" i="19"/>
  <c r="AE5" i="19"/>
  <c r="AE6" i="19" s="1"/>
  <c r="AE7" i="19" s="1"/>
  <c r="AE8" i="19" s="1"/>
  <c r="AE9" i="19" s="1"/>
  <c r="AE10" i="19" s="1"/>
  <c r="AE11" i="19" s="1"/>
  <c r="AE12" i="19" s="1"/>
  <c r="AE13" i="19" s="1"/>
  <c r="AE14" i="19" s="1"/>
  <c r="AE15" i="19" s="1"/>
  <c r="AE16" i="19" s="1"/>
  <c r="AE17" i="19" s="1"/>
  <c r="AE18" i="19" s="1"/>
  <c r="AE19" i="19" s="1"/>
  <c r="AE20" i="19" s="1"/>
  <c r="AE21" i="19" s="1"/>
  <c r="AE22" i="19" s="1"/>
  <c r="AE23" i="19" s="1"/>
  <c r="Y5" i="19"/>
  <c r="Y6" i="19" s="1"/>
  <c r="Y7" i="19" s="1"/>
  <c r="Y8" i="19" s="1"/>
  <c r="Y9" i="19" s="1"/>
  <c r="Y10" i="19" s="1"/>
  <c r="Y11" i="19" s="1"/>
  <c r="Y12" i="19" s="1"/>
  <c r="Y13" i="19" s="1"/>
  <c r="Y14" i="19" s="1"/>
  <c r="Y15" i="19" s="1"/>
  <c r="Y16" i="19" s="1"/>
  <c r="Y17" i="19" s="1"/>
  <c r="Y18" i="19" s="1"/>
  <c r="Y19" i="19" s="1"/>
  <c r="Y20" i="19" s="1"/>
  <c r="Y21" i="19" s="1"/>
  <c r="Y22" i="19" s="1"/>
  <c r="Y23" i="19" s="1"/>
  <c r="AS10" i="14"/>
  <c r="AM13" i="19"/>
  <c r="C12" i="19"/>
  <c r="AS13" i="14"/>
  <c r="C15" i="19"/>
  <c r="AS9" i="14"/>
  <c r="AS4" i="14"/>
  <c r="AV4" i="14" s="1"/>
  <c r="C6" i="19"/>
  <c r="AM12" i="19"/>
  <c r="C10" i="14"/>
  <c r="C5" i="14"/>
  <c r="C8" i="14"/>
  <c r="AS11" i="14"/>
  <c r="C11" i="19"/>
  <c r="AS14" i="14"/>
  <c r="C12" i="14"/>
  <c r="C8" i="19"/>
  <c r="AJ9" i="14"/>
  <c r="AJ10" i="14" s="1"/>
  <c r="AJ11" i="14" s="1"/>
  <c r="AJ12" i="14" s="1"/>
  <c r="AJ13" i="14" s="1"/>
  <c r="AJ14" i="14" s="1"/>
  <c r="AJ15" i="14" s="1"/>
  <c r="AJ16" i="14" s="1"/>
  <c r="AJ17" i="14" s="1"/>
  <c r="AJ18" i="14" s="1"/>
  <c r="AJ19" i="14" s="1"/>
  <c r="AJ20" i="14" s="1"/>
  <c r="AJ21" i="14" s="1"/>
  <c r="AJ22" i="14" s="1"/>
  <c r="AJ23" i="14" s="1"/>
  <c r="AK5" i="19"/>
  <c r="AK6" i="19" s="1"/>
  <c r="AK7" i="19" s="1"/>
  <c r="AK8" i="19" s="1"/>
  <c r="AK9" i="19" s="1"/>
  <c r="AK10" i="19" s="1"/>
  <c r="AK11" i="19" s="1"/>
  <c r="AK12" i="19" s="1"/>
  <c r="AK13" i="19" s="1"/>
  <c r="AK14" i="19" s="1"/>
  <c r="AK15" i="19" s="1"/>
  <c r="AK16" i="19" s="1"/>
  <c r="AK17" i="19" s="1"/>
  <c r="AK18" i="19" s="1"/>
  <c r="AK19" i="19" s="1"/>
  <c r="AK20" i="19" s="1"/>
  <c r="AK21" i="19" s="1"/>
  <c r="AK22" i="19" s="1"/>
  <c r="AK23" i="19" s="1"/>
  <c r="AQ5" i="14"/>
  <c r="AQ6" i="14" s="1"/>
  <c r="AQ7" i="14" s="1"/>
  <c r="AQ8" i="14" s="1"/>
  <c r="AQ9" i="14" s="1"/>
  <c r="AQ10" i="14" s="1"/>
  <c r="AQ11" i="14" s="1"/>
  <c r="AQ12" i="14" s="1"/>
  <c r="AQ13" i="14" s="1"/>
  <c r="AQ14" i="14" s="1"/>
  <c r="AQ15" i="14" s="1"/>
  <c r="AQ16" i="14" s="1"/>
  <c r="AQ17" i="14" s="1"/>
  <c r="AQ18" i="14" s="1"/>
  <c r="AQ19" i="14" s="1"/>
  <c r="AQ20" i="14" s="1"/>
  <c r="AQ21" i="14" s="1"/>
  <c r="AQ22" i="14" s="1"/>
  <c r="AQ23" i="14" s="1"/>
  <c r="AS7" i="14"/>
  <c r="C14" i="14"/>
  <c r="C7" i="19"/>
  <c r="AG41" i="19"/>
  <c r="AA41" i="19"/>
  <c r="C13" i="19"/>
  <c r="AM7" i="19"/>
  <c r="AM8" i="19"/>
  <c r="AM14" i="19"/>
  <c r="AS8" i="14"/>
  <c r="AM10" i="19"/>
  <c r="C9" i="14"/>
  <c r="C9" i="19"/>
  <c r="I41" i="19"/>
  <c r="O41" i="19"/>
  <c r="U41" i="19"/>
  <c r="C27" i="19"/>
  <c r="AM26" i="19"/>
  <c r="C24" i="19"/>
  <c r="C22" i="19"/>
  <c r="C20" i="19"/>
  <c r="C18" i="19"/>
  <c r="C16" i="19"/>
  <c r="AM25" i="19"/>
  <c r="C25" i="19"/>
  <c r="AM24" i="19"/>
  <c r="AM18" i="19"/>
  <c r="AM19" i="19"/>
  <c r="C23" i="19"/>
  <c r="C17" i="19"/>
  <c r="AM20" i="19"/>
  <c r="AM21" i="19"/>
  <c r="AM17" i="19"/>
  <c r="AM27" i="19"/>
  <c r="C21" i="19"/>
  <c r="C19" i="19"/>
  <c r="AM22" i="19"/>
  <c r="C26" i="19"/>
  <c r="AM16" i="19"/>
  <c r="AM23" i="19"/>
  <c r="G4" i="19"/>
  <c r="M5" i="19"/>
  <c r="D11" i="17"/>
  <c r="E11" i="17" s="1"/>
  <c r="D11" i="18"/>
  <c r="E11" i="18" s="1"/>
  <c r="J11" i="13"/>
  <c r="I18" i="13"/>
  <c r="I27" i="13" s="1"/>
  <c r="G27" i="13"/>
  <c r="K64" i="17"/>
  <c r="M64" i="17" s="1"/>
  <c r="M56" i="17" s="1"/>
  <c r="N56" i="17" s="1"/>
  <c r="R56" i="17" s="1"/>
  <c r="E52" i="18"/>
  <c r="E54" i="18" s="1"/>
  <c r="H50" i="18" s="1"/>
  <c r="E66" i="17"/>
  <c r="E68" i="17" s="1"/>
  <c r="H64" i="17" s="1"/>
  <c r="H21" i="17"/>
  <c r="K21" i="17" s="1"/>
  <c r="K20" i="13" s="1"/>
  <c r="H25" i="17"/>
  <c r="K25" i="17" s="1"/>
  <c r="K24" i="13" s="1"/>
  <c r="H26" i="17"/>
  <c r="K26" i="17" s="1"/>
  <c r="K25" i="13" s="1"/>
  <c r="H19" i="17"/>
  <c r="K19" i="17" s="1"/>
  <c r="K18" i="13" s="1"/>
  <c r="H20" i="17"/>
  <c r="K20" i="17" s="1"/>
  <c r="K19" i="13" s="1"/>
  <c r="H22" i="17"/>
  <c r="K22" i="17" s="1"/>
  <c r="K21" i="13" s="1"/>
  <c r="H23" i="17"/>
  <c r="K23" i="17" s="1"/>
  <c r="K22" i="13" s="1"/>
  <c r="H24" i="17"/>
  <c r="K24" i="17" s="1"/>
  <c r="K23" i="13" s="1"/>
  <c r="H27" i="17"/>
  <c r="K27" i="17" s="1"/>
  <c r="K26" i="13" s="1"/>
  <c r="H26" i="18"/>
  <c r="K26" i="18" s="1"/>
  <c r="H22" i="18"/>
  <c r="K22" i="18" s="1"/>
  <c r="H27" i="18"/>
  <c r="K27" i="18" s="1"/>
  <c r="H24" i="18"/>
  <c r="K24" i="18" s="1"/>
  <c r="H20" i="18"/>
  <c r="K20" i="18" s="1"/>
  <c r="H21" i="18"/>
  <c r="K21" i="18" s="1"/>
  <c r="H25" i="18"/>
  <c r="K25" i="18" s="1"/>
  <c r="H23" i="18"/>
  <c r="K23" i="18" s="1"/>
  <c r="H28" i="18"/>
  <c r="K28" i="18" s="1"/>
  <c r="E13" i="18"/>
  <c r="E10" i="18"/>
  <c r="E12" i="18"/>
  <c r="M93" i="17"/>
  <c r="N93" i="17" s="1"/>
  <c r="R93" i="17" s="1"/>
  <c r="S93" i="17" s="1"/>
  <c r="T93" i="17" s="1"/>
  <c r="M95" i="17"/>
  <c r="N95" i="17" s="1"/>
  <c r="M94" i="17"/>
  <c r="N94" i="17" s="1"/>
  <c r="M96" i="17"/>
  <c r="N96" i="17" s="1"/>
  <c r="M97" i="17"/>
  <c r="N97" i="17" s="1"/>
  <c r="M89" i="17"/>
  <c r="N89" i="17" s="1"/>
  <c r="M90" i="17"/>
  <c r="N90" i="17" s="1"/>
  <c r="R90" i="17" s="1"/>
  <c r="S90" i="17" s="1"/>
  <c r="T90" i="17" s="1"/>
  <c r="M92" i="17"/>
  <c r="N92" i="17" s="1"/>
  <c r="R92" i="17" s="1"/>
  <c r="S92" i="17" s="1"/>
  <c r="T92" i="17" s="1"/>
  <c r="M91" i="17"/>
  <c r="N91" i="17" s="1"/>
  <c r="R91" i="17" s="1"/>
  <c r="S91" i="17" s="1"/>
  <c r="T91" i="17" s="1"/>
  <c r="E10" i="17"/>
  <c r="D24" i="17"/>
  <c r="E12" i="17"/>
  <c r="D26" i="17"/>
  <c r="E13" i="17"/>
  <c r="D27" i="17"/>
  <c r="D6" i="17"/>
  <c r="D6" i="18"/>
  <c r="Q89" i="17"/>
  <c r="D7" i="17"/>
  <c r="D7" i="18"/>
  <c r="D8" i="18"/>
  <c r="D8" i="17"/>
  <c r="D9" i="18"/>
  <c r="D9" i="17"/>
  <c r="K8" i="13"/>
  <c r="M16" i="4"/>
  <c r="K7" i="13"/>
  <c r="AS18" i="14"/>
  <c r="AS27" i="14"/>
  <c r="C21" i="14"/>
  <c r="AS20" i="14"/>
  <c r="C23" i="14"/>
  <c r="AS22" i="14"/>
  <c r="C16" i="14"/>
  <c r="C25" i="14"/>
  <c r="AS24" i="14"/>
  <c r="C18" i="14"/>
  <c r="C27" i="14"/>
  <c r="AS17" i="14"/>
  <c r="AS26" i="14"/>
  <c r="C20" i="14"/>
  <c r="AS19" i="14"/>
  <c r="C22" i="14"/>
  <c r="AS21" i="14"/>
  <c r="C24" i="14"/>
  <c r="AS23" i="14"/>
  <c r="C17" i="14"/>
  <c r="C26" i="14"/>
  <c r="AS16" i="14"/>
  <c r="AS25" i="14"/>
  <c r="C19" i="14"/>
  <c r="K5" i="13"/>
  <c r="K6" i="13"/>
  <c r="I4" i="13"/>
  <c r="G13" i="13"/>
  <c r="AU15" i="14"/>
  <c r="AU16" i="14"/>
  <c r="AU17" i="14"/>
  <c r="AU18" i="14"/>
  <c r="AU19" i="14"/>
  <c r="AU20" i="14"/>
  <c r="AU21" i="14"/>
  <c r="AU22" i="14"/>
  <c r="AU23" i="14"/>
  <c r="AU14" i="14"/>
  <c r="AV3" i="14"/>
  <c r="AU3" i="14"/>
  <c r="AS3" i="14"/>
  <c r="AO6" i="19" l="1"/>
  <c r="AO7" i="19" s="1"/>
  <c r="AO8" i="19" s="1"/>
  <c r="AO9" i="19" s="1"/>
  <c r="AO10" i="19" s="1"/>
  <c r="AO11" i="19" s="1"/>
  <c r="AO12" i="19" s="1"/>
  <c r="AO13" i="19" s="1"/>
  <c r="AO14" i="19" s="1"/>
  <c r="AO15" i="19" s="1"/>
  <c r="AO16" i="19" s="1"/>
  <c r="AO17" i="19" s="1"/>
  <c r="AO18" i="19" s="1"/>
  <c r="AO19" i="19" s="1"/>
  <c r="AO20" i="19" s="1"/>
  <c r="AO21" i="19" s="1"/>
  <c r="AO22" i="19" s="1"/>
  <c r="AO23" i="19" s="1"/>
  <c r="AV5" i="14"/>
  <c r="AV6" i="14" s="1"/>
  <c r="AV7" i="14" s="1"/>
  <c r="AV8" i="14" s="1"/>
  <c r="AV9" i="14" s="1"/>
  <c r="AV10" i="14" s="1"/>
  <c r="AV11" i="14" s="1"/>
  <c r="AV12" i="14" s="1"/>
  <c r="AV13" i="14" s="1"/>
  <c r="AV14" i="14" s="1"/>
  <c r="AV15" i="14" s="1"/>
  <c r="AV16" i="14" s="1"/>
  <c r="AV17" i="14" s="1"/>
  <c r="AV18" i="14" s="1"/>
  <c r="AV19" i="14" s="1"/>
  <c r="AV20" i="14" s="1"/>
  <c r="AV21" i="14" s="1"/>
  <c r="AV22" i="14" s="1"/>
  <c r="AV23" i="14" s="1"/>
  <c r="M61" i="17"/>
  <c r="N61" i="17" s="1"/>
  <c r="M57" i="17"/>
  <c r="N57" i="17" s="1"/>
  <c r="R57" i="17" s="1"/>
  <c r="C41" i="19"/>
  <c r="M58" i="17"/>
  <c r="N58" i="17" s="1"/>
  <c r="R58" i="17" s="1"/>
  <c r="M60" i="17"/>
  <c r="N60" i="17" s="1"/>
  <c r="M54" i="17"/>
  <c r="N54" i="17" s="1"/>
  <c r="R54" i="17" s="1"/>
  <c r="M62" i="17"/>
  <c r="N62" i="17" s="1"/>
  <c r="M59" i="17"/>
  <c r="N59" i="17" s="1"/>
  <c r="AM41" i="19"/>
  <c r="D25" i="17"/>
  <c r="J25" i="17" s="1"/>
  <c r="L25" i="17" s="1"/>
  <c r="M25" i="17" s="1"/>
  <c r="G5" i="19"/>
  <c r="M6" i="19"/>
  <c r="AM24" i="14"/>
  <c r="AM26" i="14"/>
  <c r="AM25" i="14"/>
  <c r="AM27" i="14"/>
  <c r="AF24" i="14"/>
  <c r="AF25" i="14"/>
  <c r="AF26" i="14"/>
  <c r="AF27" i="14"/>
  <c r="R24" i="14"/>
  <c r="R26" i="14"/>
  <c r="R27" i="14"/>
  <c r="R25" i="14"/>
  <c r="K26" i="14"/>
  <c r="K24" i="14"/>
  <c r="K27" i="14"/>
  <c r="K25" i="14"/>
  <c r="Y26" i="14"/>
  <c r="Y27" i="14"/>
  <c r="Y24" i="14"/>
  <c r="Y25" i="14"/>
  <c r="M55" i="17"/>
  <c r="N55" i="17" s="1"/>
  <c r="R55" i="17" s="1"/>
  <c r="J12" i="13"/>
  <c r="K11" i="13"/>
  <c r="M26" i="13"/>
  <c r="O26" i="13" s="1"/>
  <c r="M22" i="13"/>
  <c r="O22" i="13" s="1"/>
  <c r="M23" i="13"/>
  <c r="O23" i="13" s="1"/>
  <c r="M21" i="13"/>
  <c r="O21" i="13" s="1"/>
  <c r="M19" i="13"/>
  <c r="O19" i="13" s="1"/>
  <c r="M25" i="13"/>
  <c r="O25" i="13" s="1"/>
  <c r="M20" i="13"/>
  <c r="O20" i="13" s="1"/>
  <c r="M18" i="13"/>
  <c r="O18" i="13" s="1"/>
  <c r="M24" i="13"/>
  <c r="O24" i="13" s="1"/>
  <c r="H54" i="17"/>
  <c r="Q54" i="17" s="1"/>
  <c r="H60" i="17"/>
  <c r="Q60" i="17" s="1"/>
  <c r="S60" i="17" s="1"/>
  <c r="T60" i="17" s="1"/>
  <c r="H56" i="17"/>
  <c r="Q56" i="17" s="1"/>
  <c r="S56" i="17" s="1"/>
  <c r="T56" i="17" s="1"/>
  <c r="H58" i="17"/>
  <c r="Q58" i="17" s="1"/>
  <c r="H62" i="17"/>
  <c r="Q62" i="17" s="1"/>
  <c r="S62" i="17" s="1"/>
  <c r="T62" i="17" s="1"/>
  <c r="H55" i="17"/>
  <c r="Q55" i="17" s="1"/>
  <c r="H61" i="17"/>
  <c r="Q61" i="17" s="1"/>
  <c r="S61" i="17" s="1"/>
  <c r="T61" i="17" s="1"/>
  <c r="H57" i="17"/>
  <c r="Q57" i="17" s="1"/>
  <c r="H59" i="17"/>
  <c r="Q59" i="17" s="1"/>
  <c r="S59" i="17" s="1"/>
  <c r="T59" i="17" s="1"/>
  <c r="H42" i="18"/>
  <c r="Q42" i="18" s="1"/>
  <c r="H41" i="18"/>
  <c r="Q41" i="18" s="1"/>
  <c r="H40" i="18"/>
  <c r="Q40" i="18" s="1"/>
  <c r="H43" i="18"/>
  <c r="Q43" i="18" s="1"/>
  <c r="H48" i="18"/>
  <c r="Q48" i="18" s="1"/>
  <c r="S48" i="18" s="1"/>
  <c r="T48" i="18" s="1"/>
  <c r="H45" i="18"/>
  <c r="Q45" i="18" s="1"/>
  <c r="S45" i="18" s="1"/>
  <c r="T45" i="18" s="1"/>
  <c r="H46" i="18"/>
  <c r="Q46" i="18" s="1"/>
  <c r="S46" i="18" s="1"/>
  <c r="T46" i="18" s="1"/>
  <c r="H44" i="18"/>
  <c r="Q44" i="18" s="1"/>
  <c r="H47" i="18"/>
  <c r="Q47" i="18" s="1"/>
  <c r="S47" i="18" s="1"/>
  <c r="T47" i="18" s="1"/>
  <c r="K30" i="18"/>
  <c r="L20" i="18"/>
  <c r="E6" i="18"/>
  <c r="L26" i="18"/>
  <c r="M26" i="18" s="1"/>
  <c r="L27" i="18"/>
  <c r="M27" i="18" s="1"/>
  <c r="E8" i="18"/>
  <c r="E7" i="18"/>
  <c r="L25" i="18"/>
  <c r="M25" i="18" s="1"/>
  <c r="E9" i="18"/>
  <c r="L28" i="18"/>
  <c r="M28" i="18" s="1"/>
  <c r="R89" i="17"/>
  <c r="S89" i="17" s="1"/>
  <c r="N99" i="17"/>
  <c r="K29" i="17"/>
  <c r="K27" i="13" s="1"/>
  <c r="E27" i="17"/>
  <c r="J27" i="17"/>
  <c r="L27" i="17" s="1"/>
  <c r="M27" i="17" s="1"/>
  <c r="E26" i="17"/>
  <c r="J26" i="17"/>
  <c r="L26" i="17" s="1"/>
  <c r="M26" i="17" s="1"/>
  <c r="E24" i="17"/>
  <c r="J24" i="17"/>
  <c r="L24" i="17" s="1"/>
  <c r="M24" i="17" s="1"/>
  <c r="E8" i="17"/>
  <c r="D22" i="17"/>
  <c r="E9" i="17"/>
  <c r="D23" i="17"/>
  <c r="E7" i="17"/>
  <c r="D21" i="17"/>
  <c r="E6" i="17"/>
  <c r="D20" i="17"/>
  <c r="D5" i="17"/>
  <c r="D19" i="17" s="1"/>
  <c r="J19" i="17" s="1"/>
  <c r="L19" i="17" s="1"/>
  <c r="D5" i="18"/>
  <c r="Q99" i="17"/>
  <c r="K4" i="13"/>
  <c r="I13" i="13"/>
  <c r="AQ3" i="14"/>
  <c r="AP3" i="14"/>
  <c r="AL3" i="14"/>
  <c r="AJ3" i="14"/>
  <c r="AI3" i="14"/>
  <c r="AE3" i="14"/>
  <c r="AL2" i="14"/>
  <c r="AE2" i="14"/>
  <c r="X2" i="14"/>
  <c r="X1" i="14" s="1"/>
  <c r="Q2" i="14"/>
  <c r="Q1" i="14" s="1"/>
  <c r="V3" i="14" s="1"/>
  <c r="J2" i="14"/>
  <c r="S57" i="17" l="1"/>
  <c r="T57" i="17" s="1"/>
  <c r="R64" i="17"/>
  <c r="E25" i="17"/>
  <c r="S54" i="17"/>
  <c r="T54" i="17" s="1"/>
  <c r="N64" i="17"/>
  <c r="S58" i="17"/>
  <c r="T58" i="17" s="1"/>
  <c r="G6" i="19"/>
  <c r="M7" i="19"/>
  <c r="AT24" i="14"/>
  <c r="AT26" i="14"/>
  <c r="AT25" i="14"/>
  <c r="AT27" i="14"/>
  <c r="K12" i="13"/>
  <c r="M27" i="13"/>
  <c r="O27" i="13"/>
  <c r="Q64" i="17"/>
  <c r="S55" i="17"/>
  <c r="T55" i="17" s="1"/>
  <c r="Q50" i="18"/>
  <c r="M19" i="17"/>
  <c r="R99" i="17"/>
  <c r="S99" i="17"/>
  <c r="L24" i="18"/>
  <c r="M24" i="18" s="1"/>
  <c r="M20" i="18"/>
  <c r="L22" i="18"/>
  <c r="M22" i="18" s="1"/>
  <c r="L23" i="18"/>
  <c r="M23" i="18" s="1"/>
  <c r="L21" i="18"/>
  <c r="M21" i="18" s="1"/>
  <c r="E20" i="17"/>
  <c r="J20" i="17"/>
  <c r="L20" i="17" s="1"/>
  <c r="M20" i="17" s="1"/>
  <c r="E21" i="17"/>
  <c r="J21" i="17"/>
  <c r="L21" i="17" s="1"/>
  <c r="M21" i="17" s="1"/>
  <c r="E23" i="17"/>
  <c r="J23" i="17"/>
  <c r="L23" i="17" s="1"/>
  <c r="M23" i="17" s="1"/>
  <c r="E22" i="17"/>
  <c r="J22" i="17"/>
  <c r="L22" i="17" s="1"/>
  <c r="M22" i="17" s="1"/>
  <c r="E19" i="17"/>
  <c r="D29" i="17"/>
  <c r="J29" i="17" s="1"/>
  <c r="E5" i="18"/>
  <c r="D15" i="18"/>
  <c r="E5" i="17"/>
  <c r="E15" i="17" s="1"/>
  <c r="D15" i="17"/>
  <c r="T89" i="17"/>
  <c r="T99" i="17" s="1"/>
  <c r="B5" i="14"/>
  <c r="AC3" i="14"/>
  <c r="AB3" i="14"/>
  <c r="X3" i="14"/>
  <c r="U3" i="14"/>
  <c r="Q3" i="14"/>
  <c r="T64" i="17" l="1"/>
  <c r="G7" i="19"/>
  <c r="M8" i="19"/>
  <c r="AT41" i="14"/>
  <c r="Q19" i="13"/>
  <c r="Q18" i="13"/>
  <c r="Q21" i="13"/>
  <c r="Q22" i="13"/>
  <c r="Q20" i="13"/>
  <c r="K13" i="13"/>
  <c r="M12" i="13" s="1"/>
  <c r="S64" i="17"/>
  <c r="E15" i="18"/>
  <c r="M30" i="18"/>
  <c r="L30" i="18"/>
  <c r="E29" i="17"/>
  <c r="B6" i="14"/>
  <c r="M11" i="13" l="1"/>
  <c r="M7" i="13"/>
  <c r="G8" i="19"/>
  <c r="M9" i="19"/>
  <c r="M8" i="13"/>
  <c r="AN34" i="19"/>
  <c r="AN32" i="19"/>
  <c r="AN29" i="19"/>
  <c r="AN33" i="19"/>
  <c r="AN30" i="19"/>
  <c r="AN28" i="19"/>
  <c r="AN35" i="19"/>
  <c r="AN31" i="19"/>
  <c r="AN27" i="19"/>
  <c r="AN24" i="19"/>
  <c r="AN26" i="19"/>
  <c r="AN25" i="19"/>
  <c r="Q25" i="13"/>
  <c r="Q26" i="13"/>
  <c r="Q24" i="13"/>
  <c r="Q23" i="13"/>
  <c r="M9" i="13"/>
  <c r="M5" i="13"/>
  <c r="M10" i="13"/>
  <c r="M4" i="13"/>
  <c r="M6" i="13"/>
  <c r="L29" i="17"/>
  <c r="M29" i="17"/>
  <c r="B7" i="14"/>
  <c r="G9" i="19" l="1"/>
  <c r="M10" i="19"/>
  <c r="Q27" i="13"/>
  <c r="P38" i="19"/>
  <c r="P39" i="19"/>
  <c r="P27" i="19"/>
  <c r="P36" i="19"/>
  <c r="S27" i="14"/>
  <c r="P37" i="19"/>
  <c r="V37" i="19"/>
  <c r="V39" i="19"/>
  <c r="V38" i="19"/>
  <c r="V36" i="19"/>
  <c r="M13" i="13"/>
  <c r="AO24" i="19"/>
  <c r="AO25" i="19" s="1"/>
  <c r="AO26" i="19" s="1"/>
  <c r="AO27" i="19" s="1"/>
  <c r="AO28" i="19" s="1"/>
  <c r="AO29" i="19" s="1"/>
  <c r="AO30" i="19" s="1"/>
  <c r="AO31" i="19" s="1"/>
  <c r="AO32" i="19" s="1"/>
  <c r="AN41" i="19"/>
  <c r="B8" i="14"/>
  <c r="G10" i="19" l="1"/>
  <c r="M11" i="19"/>
  <c r="AO33" i="19"/>
  <c r="AO34" i="19" s="1"/>
  <c r="AO35" i="19" s="1"/>
  <c r="AO36" i="19" s="1"/>
  <c r="AO37" i="19" s="1"/>
  <c r="AO38" i="19" s="1"/>
  <c r="AO39" i="19" s="1"/>
  <c r="AO41" i="19" s="1"/>
  <c r="D37" i="19"/>
  <c r="D36" i="19"/>
  <c r="D39" i="19"/>
  <c r="D38" i="19"/>
  <c r="AP28" i="19"/>
  <c r="B9" i="14"/>
  <c r="G11" i="19" l="1"/>
  <c r="M12" i="19"/>
  <c r="AB28" i="19"/>
  <c r="AH28" i="19"/>
  <c r="V28" i="19"/>
  <c r="J28" i="19"/>
  <c r="P28" i="19"/>
  <c r="AP29" i="19"/>
  <c r="B10" i="14"/>
  <c r="G12" i="19" l="1"/>
  <c r="M13" i="19"/>
  <c r="D28" i="19"/>
  <c r="AH29" i="19"/>
  <c r="AB29" i="19"/>
  <c r="J29" i="19"/>
  <c r="P29" i="19"/>
  <c r="V29" i="19"/>
  <c r="AP30" i="19"/>
  <c r="B11" i="14"/>
  <c r="G13" i="19" l="1"/>
  <c r="M14" i="19"/>
  <c r="AH30" i="19"/>
  <c r="AB30" i="19"/>
  <c r="J30" i="19"/>
  <c r="V30" i="19"/>
  <c r="P30" i="19"/>
  <c r="AP31" i="19"/>
  <c r="AP32" i="19" s="1"/>
  <c r="D29" i="19"/>
  <c r="B12" i="14"/>
  <c r="G14" i="19" l="1"/>
  <c r="M15" i="19"/>
  <c r="AB32" i="19"/>
  <c r="AH32" i="19"/>
  <c r="P32" i="19"/>
  <c r="J32" i="19"/>
  <c r="V32" i="19"/>
  <c r="AB31" i="19"/>
  <c r="AH31" i="19"/>
  <c r="P31" i="19"/>
  <c r="V31" i="19"/>
  <c r="J31" i="19"/>
  <c r="AP33" i="19"/>
  <c r="D30" i="19"/>
  <c r="B13" i="14"/>
  <c r="B14" i="14" s="1"/>
  <c r="G15" i="19" l="1"/>
  <c r="M16" i="19"/>
  <c r="AB33" i="19"/>
  <c r="AH33" i="19"/>
  <c r="V33" i="19"/>
  <c r="P33" i="19"/>
  <c r="J33" i="19"/>
  <c r="D31" i="19"/>
  <c r="AP34" i="19"/>
  <c r="D32" i="19"/>
  <c r="B15" i="14"/>
  <c r="G16" i="19" l="1"/>
  <c r="M17" i="19"/>
  <c r="AB34" i="19"/>
  <c r="AH34" i="19"/>
  <c r="V34" i="19"/>
  <c r="J34" i="19"/>
  <c r="P34" i="19"/>
  <c r="D33" i="19"/>
  <c r="AP35" i="19"/>
  <c r="B16" i="14"/>
  <c r="G17" i="19" l="1"/>
  <c r="M18" i="19"/>
  <c r="AH35" i="19"/>
  <c r="AH41" i="19" s="1"/>
  <c r="AB35" i="19"/>
  <c r="V35" i="19"/>
  <c r="J35" i="19"/>
  <c r="P35" i="19"/>
  <c r="P41" i="19" s="1"/>
  <c r="V41" i="19"/>
  <c r="AB41" i="19"/>
  <c r="D34" i="19"/>
  <c r="J41" i="19"/>
  <c r="AP41" i="19"/>
  <c r="N13" i="13" s="1"/>
  <c r="B17" i="14"/>
  <c r="G18" i="19" l="1"/>
  <c r="M19" i="19"/>
  <c r="R25" i="13"/>
  <c r="S25" i="13" s="1"/>
  <c r="T25" i="13" s="1"/>
  <c r="R23" i="13"/>
  <c r="S23" i="13" s="1"/>
  <c r="T23" i="13" s="1"/>
  <c r="R26" i="13"/>
  <c r="S26" i="13" s="1"/>
  <c r="T26" i="13" s="1"/>
  <c r="R24" i="13"/>
  <c r="S24" i="13" s="1"/>
  <c r="T24" i="13" s="1"/>
  <c r="D35" i="19"/>
  <c r="D41" i="19" s="1"/>
  <c r="B18" i="14"/>
  <c r="G19" i="19" l="1"/>
  <c r="M20" i="19"/>
  <c r="B19" i="14"/>
  <c r="G20" i="19" l="1"/>
  <c r="M21" i="19"/>
  <c r="B20" i="14"/>
  <c r="G21" i="19" l="1"/>
  <c r="M22" i="19"/>
  <c r="B21" i="14"/>
  <c r="G22" i="19" l="1"/>
  <c r="M23" i="19"/>
  <c r="G23" i="19" s="1"/>
  <c r="B22" i="14"/>
  <c r="B23" i="14" l="1"/>
  <c r="B24" i="14" l="1"/>
  <c r="AU24" i="14" l="1"/>
  <c r="AV24" i="14" s="1"/>
  <c r="B25" i="14"/>
  <c r="AU25" i="14" l="1"/>
  <c r="AV25" i="14" s="1"/>
  <c r="D24" i="14"/>
  <c r="B26" i="14"/>
  <c r="AU26" i="14" l="1"/>
  <c r="AV26" i="14" s="1"/>
  <c r="D25" i="14"/>
  <c r="B27" i="14"/>
  <c r="AU27" i="14" l="1"/>
  <c r="AV27" i="14" s="1"/>
  <c r="AM41" i="14"/>
  <c r="Y41" i="14"/>
  <c r="AF41" i="14"/>
  <c r="D26" i="14"/>
  <c r="B28" i="14"/>
  <c r="AU28" i="14" l="1"/>
  <c r="K41" i="14"/>
  <c r="D27" i="14"/>
  <c r="D41" i="14" s="1"/>
  <c r="R41" i="14"/>
  <c r="B29" i="14"/>
  <c r="AV28" i="14" l="1"/>
  <c r="AW28" i="14"/>
  <c r="L28" i="14" s="1"/>
  <c r="AU29" i="14"/>
  <c r="B30" i="14"/>
  <c r="AV29" i="14" l="1"/>
  <c r="AW29" i="14"/>
  <c r="L29" i="14" s="1"/>
  <c r="AU30" i="14"/>
  <c r="B31" i="14"/>
  <c r="AW30" i="14" l="1"/>
  <c r="L30" i="14" s="1"/>
  <c r="AV30" i="14"/>
  <c r="AU31" i="14"/>
  <c r="B32" i="14"/>
  <c r="AV31" i="14" l="1"/>
  <c r="AU32" i="14"/>
  <c r="B33" i="14"/>
  <c r="AV32" i="14" l="1"/>
  <c r="AU33" i="14"/>
  <c r="AV33" i="14" s="1"/>
  <c r="B34" i="14"/>
  <c r="AU34" i="14" l="1"/>
  <c r="AV34" i="14" s="1"/>
  <c r="B35" i="14"/>
  <c r="AU35" i="14" l="1"/>
  <c r="AV35" i="14" s="1"/>
  <c r="B36" i="14"/>
  <c r="AU36" i="14" l="1"/>
  <c r="AW36" i="14" s="1"/>
  <c r="L36" i="14" s="1"/>
  <c r="B37" i="14"/>
  <c r="AV36" i="14" l="1"/>
  <c r="M37" i="14"/>
  <c r="AU37" i="14"/>
  <c r="AW37" i="14" s="1"/>
  <c r="B38" i="14"/>
  <c r="AV37" i="14" l="1"/>
  <c r="AU38" i="14"/>
  <c r="M38" i="14"/>
  <c r="B39" i="14"/>
  <c r="AV38" i="14" l="1"/>
  <c r="M39" i="14"/>
  <c r="AU39" i="14"/>
  <c r="AW39" i="14" s="1"/>
  <c r="G12" i="14"/>
  <c r="G6" i="14"/>
  <c r="G15" i="14"/>
  <c r="G5" i="14"/>
  <c r="G11" i="14"/>
  <c r="G18" i="14"/>
  <c r="G8" i="14"/>
  <c r="G21" i="14"/>
  <c r="G23" i="14"/>
  <c r="G13" i="14"/>
  <c r="G4" i="14"/>
  <c r="G19" i="14"/>
  <c r="G16" i="14"/>
  <c r="G7" i="14"/>
  <c r="G17" i="14"/>
  <c r="G14" i="14"/>
  <c r="G9" i="14"/>
  <c r="G22" i="14"/>
  <c r="G20" i="14"/>
  <c r="G10" i="14"/>
  <c r="AV39" i="14" l="1"/>
  <c r="O4" i="14"/>
  <c r="O5" i="14" s="1"/>
  <c r="O6" i="14" s="1"/>
  <c r="O7" i="14" s="1"/>
  <c r="O8" i="14" s="1"/>
  <c r="O9" i="14" s="1"/>
  <c r="O10" i="14" s="1"/>
  <c r="O11" i="14" s="1"/>
  <c r="O12" i="14" l="1"/>
  <c r="O13" i="14" s="1"/>
  <c r="O14" i="14" s="1"/>
  <c r="O15" i="14" s="1"/>
  <c r="O16" i="14" s="1"/>
  <c r="O17" i="14" s="1"/>
  <c r="O18" i="14" s="1"/>
  <c r="O19" i="14" s="1"/>
  <c r="O20" i="14" s="1"/>
  <c r="O21" i="14" s="1"/>
  <c r="O22" i="14" s="1"/>
  <c r="O23" i="14" s="1"/>
  <c r="AU41" i="14"/>
  <c r="AE41" i="14"/>
  <c r="J41" i="14"/>
  <c r="Q41" i="14"/>
  <c r="AL41" i="14" l="1"/>
  <c r="X41" i="14"/>
  <c r="AS41" i="14" l="1"/>
  <c r="H5" i="14"/>
  <c r="H4" i="14"/>
  <c r="H6" i="14"/>
  <c r="C41" i="14"/>
  <c r="Z28" i="14" l="1"/>
  <c r="AG28" i="14"/>
  <c r="AN28" i="14"/>
  <c r="S28" i="14"/>
  <c r="H7" i="14"/>
  <c r="AN29" i="14" l="1"/>
  <c r="S29" i="14"/>
  <c r="Z29" i="14"/>
  <c r="AG29" i="14"/>
  <c r="H8" i="14"/>
  <c r="E28" i="14" l="1"/>
  <c r="H9" i="14"/>
  <c r="AN30" i="14" l="1"/>
  <c r="S30" i="14"/>
  <c r="Z30" i="14"/>
  <c r="AG30" i="14"/>
  <c r="AW31" i="14"/>
  <c r="L31" i="14" s="1"/>
  <c r="E29" i="14"/>
  <c r="H10" i="14"/>
  <c r="AW32" i="14" l="1"/>
  <c r="AN31" i="14"/>
  <c r="S31" i="14"/>
  <c r="Z31" i="14"/>
  <c r="AG31" i="14"/>
  <c r="E30" i="14"/>
  <c r="H11" i="14"/>
  <c r="AW33" i="14" l="1"/>
  <c r="L33" i="14" s="1"/>
  <c r="L32" i="14"/>
  <c r="AW34" i="14"/>
  <c r="AN32" i="14"/>
  <c r="S32" i="14"/>
  <c r="AG32" i="14"/>
  <c r="Z32" i="14"/>
  <c r="E31" i="14"/>
  <c r="H12" i="14"/>
  <c r="AW35" i="14" l="1"/>
  <c r="L35" i="14" s="1"/>
  <c r="L34" i="14"/>
  <c r="AG33" i="14"/>
  <c r="AN33" i="14"/>
  <c r="S33" i="14"/>
  <c r="Z33" i="14"/>
  <c r="E32" i="14"/>
  <c r="H13" i="14"/>
  <c r="AG34" i="14" l="1"/>
  <c r="AN34" i="14"/>
  <c r="S34" i="14"/>
  <c r="Z34" i="14"/>
  <c r="E33" i="14"/>
  <c r="H14" i="14"/>
  <c r="AN35" i="14" l="1"/>
  <c r="AG35" i="14"/>
  <c r="S35" i="14"/>
  <c r="Z35" i="14"/>
  <c r="E34" i="14"/>
  <c r="H15" i="14"/>
  <c r="AG36" i="14" l="1"/>
  <c r="AN36" i="14"/>
  <c r="S36" i="14"/>
  <c r="Z36" i="14"/>
  <c r="E35" i="14"/>
  <c r="H16" i="14"/>
  <c r="Z37" i="14" l="1"/>
  <c r="AG37" i="14"/>
  <c r="AN37" i="14"/>
  <c r="L37" i="14"/>
  <c r="S37" i="14"/>
  <c r="E36" i="14"/>
  <c r="AW38" i="14"/>
  <c r="H17" i="14"/>
  <c r="Z38" i="14" l="1"/>
  <c r="AG38" i="14"/>
  <c r="AN38" i="14"/>
  <c r="L38" i="14"/>
  <c r="S38" i="14"/>
  <c r="E37" i="14"/>
  <c r="AV41" i="14"/>
  <c r="H18" i="14"/>
  <c r="Z39" i="14" l="1"/>
  <c r="AN39" i="14"/>
  <c r="L39" i="14"/>
  <c r="S39" i="14"/>
  <c r="AG39" i="14"/>
  <c r="AG41" i="14" s="1"/>
  <c r="Z41" i="14"/>
  <c r="AN41" i="14"/>
  <c r="S41" i="14"/>
  <c r="AW41" i="14"/>
  <c r="R27" i="13" s="1"/>
  <c r="E38" i="14"/>
  <c r="H19" i="14"/>
  <c r="S27" i="13" l="1"/>
  <c r="R19" i="13"/>
  <c r="R20" i="13"/>
  <c r="R21" i="13"/>
  <c r="R22" i="13"/>
  <c r="R18" i="13"/>
  <c r="N12" i="13"/>
  <c r="O12" i="13" s="1"/>
  <c r="P12" i="13" s="1"/>
  <c r="N4" i="13"/>
  <c r="O13" i="13"/>
  <c r="N6" i="13"/>
  <c r="L41" i="14"/>
  <c r="E39" i="14"/>
  <c r="E41" i="14" s="1"/>
  <c r="H20" i="14"/>
  <c r="M31" i="14" l="1"/>
  <c r="M27" i="14"/>
  <c r="M35" i="14"/>
  <c r="M24" i="14"/>
  <c r="M34" i="14"/>
  <c r="M33" i="14"/>
  <c r="M28" i="14"/>
  <c r="M25" i="14"/>
  <c r="M32" i="14"/>
  <c r="M26" i="14"/>
  <c r="M29" i="14"/>
  <c r="M30" i="14"/>
  <c r="T35" i="14"/>
  <c r="T24" i="14"/>
  <c r="T25" i="14"/>
  <c r="T34" i="14"/>
  <c r="T26" i="14"/>
  <c r="T27" i="14"/>
  <c r="T28" i="14"/>
  <c r="T33" i="14"/>
  <c r="T29" i="14"/>
  <c r="T32" i="14"/>
  <c r="T30" i="14"/>
  <c r="T31" i="14"/>
  <c r="S19" i="13"/>
  <c r="T19" i="13" s="1"/>
  <c r="S18" i="13"/>
  <c r="T18" i="13" s="1"/>
  <c r="AO33" i="14"/>
  <c r="AO24" i="14"/>
  <c r="AO29" i="14"/>
  <c r="AO28" i="14"/>
  <c r="AO30" i="14"/>
  <c r="AO31" i="14"/>
  <c r="AO32" i="14"/>
  <c r="AO26" i="14"/>
  <c r="AO27" i="14"/>
  <c r="AO34" i="14"/>
  <c r="AO35" i="14"/>
  <c r="AO25" i="14"/>
  <c r="S22" i="13"/>
  <c r="T22" i="13" s="1"/>
  <c r="AH24" i="14"/>
  <c r="AH25" i="14"/>
  <c r="AH26" i="14"/>
  <c r="AH27" i="14"/>
  <c r="AH35" i="14"/>
  <c r="AH28" i="14"/>
  <c r="AH29" i="14"/>
  <c r="AH30" i="14"/>
  <c r="AH33" i="14"/>
  <c r="AH34" i="14"/>
  <c r="AH31" i="14"/>
  <c r="AH32" i="14"/>
  <c r="S21" i="13"/>
  <c r="T21" i="13" s="1"/>
  <c r="AA24" i="14"/>
  <c r="AA25" i="14"/>
  <c r="AA26" i="14"/>
  <c r="AA27" i="14"/>
  <c r="AA32" i="14"/>
  <c r="AA33" i="14"/>
  <c r="AA28" i="14"/>
  <c r="AA35" i="14"/>
  <c r="AA29" i="14"/>
  <c r="AA30" i="14"/>
  <c r="AA31" i="14"/>
  <c r="AA34" i="14"/>
  <c r="S20" i="13"/>
  <c r="T20" i="13" s="1"/>
  <c r="K26" i="19"/>
  <c r="K32" i="19"/>
  <c r="K27" i="19"/>
  <c r="K28" i="19"/>
  <c r="K33" i="19"/>
  <c r="K30" i="19"/>
  <c r="K35" i="19"/>
  <c r="K24" i="19"/>
  <c r="K34" i="19"/>
  <c r="K25" i="19"/>
  <c r="K29" i="19"/>
  <c r="K31" i="19"/>
  <c r="W30" i="19"/>
  <c r="W27" i="19"/>
  <c r="W33" i="19"/>
  <c r="W24" i="19"/>
  <c r="W34" i="19"/>
  <c r="W31" i="19"/>
  <c r="W29" i="19"/>
  <c r="W32" i="19"/>
  <c r="W26" i="19"/>
  <c r="W28" i="19"/>
  <c r="W25" i="19"/>
  <c r="W35" i="19"/>
  <c r="N7" i="13"/>
  <c r="O7" i="13" s="1"/>
  <c r="P7" i="13" s="1"/>
  <c r="N9" i="13"/>
  <c r="O9" i="13" s="1"/>
  <c r="P9" i="13" s="1"/>
  <c r="N11" i="13"/>
  <c r="O11" i="13" s="1"/>
  <c r="P11" i="13" s="1"/>
  <c r="N10" i="13"/>
  <c r="O10" i="13" s="1"/>
  <c r="P10" i="13" s="1"/>
  <c r="N8" i="13"/>
  <c r="N5" i="13"/>
  <c r="O6" i="13"/>
  <c r="P6" i="13" s="1"/>
  <c r="O4" i="13"/>
  <c r="P4" i="13" s="1"/>
  <c r="H21" i="14"/>
  <c r="N30" i="14" l="1"/>
  <c r="N31" i="14"/>
  <c r="N29" i="14"/>
  <c r="N33" i="14"/>
  <c r="N35" i="14"/>
  <c r="N26" i="14"/>
  <c r="N34" i="14"/>
  <c r="N27" i="14"/>
  <c r="N28" i="14"/>
  <c r="N32" i="14"/>
  <c r="U31" i="14"/>
  <c r="U30" i="14"/>
  <c r="U32" i="14"/>
  <c r="U29" i="14"/>
  <c r="U33" i="14"/>
  <c r="U34" i="14"/>
  <c r="U28" i="14"/>
  <c r="U35" i="14"/>
  <c r="AI30" i="14"/>
  <c r="AI31" i="14"/>
  <c r="AI34" i="14"/>
  <c r="AI32" i="14"/>
  <c r="AI33" i="14"/>
  <c r="AI29" i="14"/>
  <c r="AI27" i="14"/>
  <c r="AI28" i="14"/>
  <c r="AI35" i="14"/>
  <c r="AP27" i="14"/>
  <c r="AP28" i="14"/>
  <c r="AP29" i="14"/>
  <c r="AP31" i="14"/>
  <c r="AP32" i="14"/>
  <c r="AP35" i="14"/>
  <c r="AP30" i="14"/>
  <c r="AP33" i="14"/>
  <c r="AP34" i="14"/>
  <c r="AB34" i="14"/>
  <c r="AB35" i="14"/>
  <c r="AB28" i="14"/>
  <c r="AB29" i="14"/>
  <c r="AB33" i="14"/>
  <c r="AB30" i="14"/>
  <c r="AB31" i="14"/>
  <c r="AB32" i="14"/>
  <c r="U24" i="14"/>
  <c r="V24" i="14" s="1"/>
  <c r="U25" i="14"/>
  <c r="U26" i="14"/>
  <c r="U27" i="14"/>
  <c r="T27" i="13"/>
  <c r="N24" i="14"/>
  <c r="O24" i="14" s="1"/>
  <c r="N25" i="14"/>
  <c r="AP24" i="14"/>
  <c r="AQ24" i="14" s="1"/>
  <c r="AP25" i="14"/>
  <c r="AP26" i="14"/>
  <c r="AI24" i="14"/>
  <c r="AJ24" i="14" s="1"/>
  <c r="AI25" i="14"/>
  <c r="AI26" i="14"/>
  <c r="AB24" i="14"/>
  <c r="AC24" i="14" s="1"/>
  <c r="AB25" i="14"/>
  <c r="AB26" i="14"/>
  <c r="AB27" i="14"/>
  <c r="Q33" i="19"/>
  <c r="Q29" i="19"/>
  <c r="Q30" i="19"/>
  <c r="Q26" i="19"/>
  <c r="Q27" i="19"/>
  <c r="Q24" i="19"/>
  <c r="Q34" i="19"/>
  <c r="Q28" i="19"/>
  <c r="Q35" i="19"/>
  <c r="Q32" i="19"/>
  <c r="Q31" i="19"/>
  <c r="Q25" i="19"/>
  <c r="AI30" i="19"/>
  <c r="AI34" i="19"/>
  <c r="AI31" i="19"/>
  <c r="AI28" i="19"/>
  <c r="AI25" i="19"/>
  <c r="AI35" i="19"/>
  <c r="AI32" i="19"/>
  <c r="AI27" i="19"/>
  <c r="AI29" i="19"/>
  <c r="AI26" i="19"/>
  <c r="AI33" i="19"/>
  <c r="AI24" i="19"/>
  <c r="L29" i="19"/>
  <c r="L32" i="19"/>
  <c r="L26" i="19"/>
  <c r="L33" i="19"/>
  <c r="L30" i="19"/>
  <c r="L27" i="19"/>
  <c r="L24" i="19"/>
  <c r="M24" i="19" s="1"/>
  <c r="L25" i="19"/>
  <c r="L31" i="19"/>
  <c r="L28" i="19"/>
  <c r="L34" i="19"/>
  <c r="L35" i="19"/>
  <c r="AC30" i="19"/>
  <c r="AC24" i="19"/>
  <c r="AC26" i="19"/>
  <c r="AC34" i="19"/>
  <c r="AC28" i="19"/>
  <c r="AC27" i="19"/>
  <c r="AC31" i="19"/>
  <c r="AC29" i="19"/>
  <c r="AC25" i="19"/>
  <c r="AC35" i="19"/>
  <c r="AC32" i="19"/>
  <c r="AC33" i="19"/>
  <c r="X30" i="19"/>
  <c r="X27" i="19"/>
  <c r="X24" i="19"/>
  <c r="X32" i="19"/>
  <c r="X34" i="19"/>
  <c r="X31" i="19"/>
  <c r="X28" i="19"/>
  <c r="X33" i="19"/>
  <c r="X26" i="19"/>
  <c r="X25" i="19"/>
  <c r="X35" i="19"/>
  <c r="X29" i="19"/>
  <c r="AD26" i="19"/>
  <c r="AD34" i="19"/>
  <c r="AD31" i="19"/>
  <c r="AD25" i="19"/>
  <c r="AD33" i="19"/>
  <c r="AD28" i="19"/>
  <c r="AD30" i="19"/>
  <c r="AD24" i="19"/>
  <c r="AD35" i="19"/>
  <c r="AD27" i="19"/>
  <c r="AD32" i="19"/>
  <c r="AD29" i="19"/>
  <c r="F25" i="14"/>
  <c r="F32" i="14"/>
  <c r="O8" i="13"/>
  <c r="P8" i="13" s="1"/>
  <c r="W41" i="19"/>
  <c r="K41" i="19"/>
  <c r="O5" i="13"/>
  <c r="P5" i="13" s="1"/>
  <c r="F37" i="14"/>
  <c r="F39" i="14"/>
  <c r="F36" i="14"/>
  <c r="M41" i="14"/>
  <c r="AA41" i="14"/>
  <c r="F38" i="14"/>
  <c r="H22" i="14"/>
  <c r="E27" i="19" l="1"/>
  <c r="M25" i="19"/>
  <c r="AC25" i="14"/>
  <c r="AC26" i="14" s="1"/>
  <c r="AC27" i="14" s="1"/>
  <c r="AC28" i="14" s="1"/>
  <c r="AC29" i="14" s="1"/>
  <c r="AC30" i="14" s="1"/>
  <c r="AC31" i="14" s="1"/>
  <c r="AC32" i="14" s="1"/>
  <c r="AC33" i="14" s="1"/>
  <c r="E29" i="19"/>
  <c r="E35" i="19"/>
  <c r="E33" i="19"/>
  <c r="E28" i="19"/>
  <c r="AJ25" i="14"/>
  <c r="AJ26" i="14" s="1"/>
  <c r="AJ27" i="14" s="1"/>
  <c r="AJ28" i="14" s="1"/>
  <c r="AJ29" i="14" s="1"/>
  <c r="AJ30" i="14" s="1"/>
  <c r="AJ31" i="14" s="1"/>
  <c r="AJ32" i="14" s="1"/>
  <c r="AJ33" i="14" s="1"/>
  <c r="AJ34" i="14" s="1"/>
  <c r="AJ35" i="14" s="1"/>
  <c r="AJ36" i="14" s="1"/>
  <c r="AJ37" i="14" s="1"/>
  <c r="AJ38" i="14" s="1"/>
  <c r="AJ39" i="14" s="1"/>
  <c r="AJ41" i="14" s="1"/>
  <c r="AC34" i="14"/>
  <c r="AC35" i="14" s="1"/>
  <c r="AC36" i="14" s="1"/>
  <c r="AC37" i="14" s="1"/>
  <c r="AC38" i="14" s="1"/>
  <c r="AC39" i="14" s="1"/>
  <c r="AC41" i="14" s="1"/>
  <c r="V25" i="14"/>
  <c r="V26" i="14" s="1"/>
  <c r="V27" i="14" s="1"/>
  <c r="V28" i="14" s="1"/>
  <c r="V29" i="14" s="1"/>
  <c r="V30" i="14" s="1"/>
  <c r="V31" i="14" s="1"/>
  <c r="V32" i="14" s="1"/>
  <c r="V33" i="14" s="1"/>
  <c r="V34" i="14" s="1"/>
  <c r="V35" i="14" s="1"/>
  <c r="V36" i="14" s="1"/>
  <c r="V37" i="14" s="1"/>
  <c r="V38" i="14" s="1"/>
  <c r="V39" i="14" s="1"/>
  <c r="AQ25" i="14"/>
  <c r="AQ26" i="14" s="1"/>
  <c r="AQ27" i="14" s="1"/>
  <c r="AQ28" i="14" s="1"/>
  <c r="AQ29" i="14" s="1"/>
  <c r="AQ30" i="14" s="1"/>
  <c r="AQ31" i="14" s="1"/>
  <c r="AQ32" i="14" s="1"/>
  <c r="AQ33" i="14" s="1"/>
  <c r="AQ34" i="14" s="1"/>
  <c r="AQ35" i="14" s="1"/>
  <c r="AQ36" i="14" s="1"/>
  <c r="AQ37" i="14" s="1"/>
  <c r="AQ38" i="14" s="1"/>
  <c r="AQ39" i="14" s="1"/>
  <c r="O25" i="14"/>
  <c r="O26" i="14" s="1"/>
  <c r="O27" i="14" s="1"/>
  <c r="O28" i="14" s="1"/>
  <c r="O29" i="14" s="1"/>
  <c r="O30" i="14" s="1"/>
  <c r="O31" i="14" s="1"/>
  <c r="O32" i="14" s="1"/>
  <c r="O33" i="14" s="1"/>
  <c r="O34" i="14" s="1"/>
  <c r="O35" i="14" s="1"/>
  <c r="O36" i="14" s="1"/>
  <c r="O37" i="14" s="1"/>
  <c r="O38" i="14" s="1"/>
  <c r="O39" i="14" s="1"/>
  <c r="O41" i="14" s="1"/>
  <c r="E30" i="19"/>
  <c r="E26" i="19"/>
  <c r="E25" i="19"/>
  <c r="F33" i="14"/>
  <c r="E34" i="19"/>
  <c r="E24" i="19"/>
  <c r="E32" i="19"/>
  <c r="E31" i="19"/>
  <c r="F31" i="14"/>
  <c r="F30" i="14"/>
  <c r="F35" i="14"/>
  <c r="F34" i="14"/>
  <c r="F29" i="14"/>
  <c r="AO41" i="14"/>
  <c r="F27" i="14"/>
  <c r="P13" i="13"/>
  <c r="R26" i="19"/>
  <c r="R33" i="19"/>
  <c r="R30" i="19"/>
  <c r="R32" i="19"/>
  <c r="R29" i="19"/>
  <c r="R27" i="19"/>
  <c r="R34" i="19"/>
  <c r="R24" i="19"/>
  <c r="R35" i="19"/>
  <c r="R31" i="19"/>
  <c r="R25" i="19"/>
  <c r="R28" i="19"/>
  <c r="AJ31" i="19"/>
  <c r="AJ28" i="19"/>
  <c r="AJ25" i="19"/>
  <c r="AJ35" i="19"/>
  <c r="AJ32" i="19"/>
  <c r="AJ30" i="19"/>
  <c r="AJ27" i="19"/>
  <c r="F27" i="19" s="1"/>
  <c r="AJ24" i="19"/>
  <c r="AJ34" i="19"/>
  <c r="AJ29" i="19"/>
  <c r="AJ33" i="19"/>
  <c r="AJ26" i="19"/>
  <c r="F28" i="14"/>
  <c r="L41" i="19"/>
  <c r="AC41" i="19"/>
  <c r="G31" i="14"/>
  <c r="X41" i="19"/>
  <c r="Y24" i="19"/>
  <c r="Y25" i="19" s="1"/>
  <c r="Y26" i="19" s="1"/>
  <c r="Y27" i="19" s="1"/>
  <c r="F26" i="14"/>
  <c r="Q41" i="19"/>
  <c r="AE24" i="19"/>
  <c r="AE25" i="19" s="1"/>
  <c r="AE26" i="19" s="1"/>
  <c r="AE27" i="19" s="1"/>
  <c r="AE28" i="19" s="1"/>
  <c r="AE29" i="19" s="1"/>
  <c r="AE30" i="19" s="1"/>
  <c r="AE31" i="19" s="1"/>
  <c r="AE32" i="19" s="1"/>
  <c r="AE33" i="19" s="1"/>
  <c r="AE34" i="19" s="1"/>
  <c r="AE35" i="19" s="1"/>
  <c r="AE36" i="19" s="1"/>
  <c r="AE37" i="19" s="1"/>
  <c r="AE38" i="19" s="1"/>
  <c r="AE39" i="19" s="1"/>
  <c r="AE41" i="19" s="1"/>
  <c r="AD41" i="19"/>
  <c r="AI41" i="19"/>
  <c r="AH41" i="14"/>
  <c r="G35" i="14"/>
  <c r="H24" i="14"/>
  <c r="T41" i="14"/>
  <c r="F24" i="14"/>
  <c r="G25" i="14"/>
  <c r="G37" i="14"/>
  <c r="G36" i="14"/>
  <c r="N41" i="14"/>
  <c r="G24" i="14"/>
  <c r="G39" i="14"/>
  <c r="G38" i="14"/>
  <c r="AI41" i="14"/>
  <c r="G26" i="14"/>
  <c r="AB41" i="14"/>
  <c r="G27" i="14"/>
  <c r="H23" i="14"/>
  <c r="F32" i="19" l="1"/>
  <c r="F30" i="19"/>
  <c r="F25" i="19"/>
  <c r="F28" i="19"/>
  <c r="F31" i="19"/>
  <c r="F34" i="19"/>
  <c r="F24" i="19"/>
  <c r="M43" i="14"/>
  <c r="F35" i="19"/>
  <c r="E41" i="19"/>
  <c r="G30" i="14"/>
  <c r="F26" i="19"/>
  <c r="G29" i="14"/>
  <c r="F33" i="19"/>
  <c r="F41" i="14"/>
  <c r="AP41" i="14"/>
  <c r="G33" i="14"/>
  <c r="V41" i="14"/>
  <c r="G32" i="14"/>
  <c r="G34" i="14"/>
  <c r="U41" i="14"/>
  <c r="AQ41" i="14"/>
  <c r="Y28" i="19"/>
  <c r="Y29" i="19" s="1"/>
  <c r="Y30" i="19" s="1"/>
  <c r="Y31" i="19" s="1"/>
  <c r="Y32" i="19" s="1"/>
  <c r="Y33" i="19" s="1"/>
  <c r="Y34" i="19" s="1"/>
  <c r="Y35" i="19" s="1"/>
  <c r="Y36" i="19" s="1"/>
  <c r="Y37" i="19" s="1"/>
  <c r="Y38" i="19" s="1"/>
  <c r="Y39" i="19" s="1"/>
  <c r="Y41" i="19" s="1"/>
  <c r="AJ41" i="19"/>
  <c r="AK24" i="19"/>
  <c r="AK25" i="19" s="1"/>
  <c r="AK26" i="19" s="1"/>
  <c r="AK27" i="19" s="1"/>
  <c r="AK28" i="19" s="1"/>
  <c r="AK29" i="19" s="1"/>
  <c r="AK30" i="19" s="1"/>
  <c r="AK31" i="19" s="1"/>
  <c r="AK32" i="19" s="1"/>
  <c r="AK33" i="19" s="1"/>
  <c r="AK34" i="19" s="1"/>
  <c r="AK35" i="19" s="1"/>
  <c r="AK36" i="19" s="1"/>
  <c r="AK37" i="19" s="1"/>
  <c r="AK38" i="19" s="1"/>
  <c r="AK39" i="19" s="1"/>
  <c r="AK41" i="19" s="1"/>
  <c r="R41" i="19"/>
  <c r="S24" i="19"/>
  <c r="S25" i="19" s="1"/>
  <c r="S26" i="19" s="1"/>
  <c r="S27" i="19" s="1"/>
  <c r="S28" i="19" s="1"/>
  <c r="S29" i="19" s="1"/>
  <c r="S30" i="19" s="1"/>
  <c r="S31" i="19" s="1"/>
  <c r="S32" i="19" s="1"/>
  <c r="S33" i="19" s="1"/>
  <c r="S34" i="19" s="1"/>
  <c r="S35" i="19" s="1"/>
  <c r="S36" i="19" s="1"/>
  <c r="S37" i="19" s="1"/>
  <c r="S38" i="19" s="1"/>
  <c r="S39" i="19" s="1"/>
  <c r="S41" i="19" s="1"/>
  <c r="G28" i="14"/>
  <c r="F29" i="19"/>
  <c r="F41" i="19" l="1"/>
  <c r="G41" i="14"/>
  <c r="G25" i="19"/>
  <c r="M26" i="19"/>
  <c r="G24" i="19"/>
  <c r="H25" i="14"/>
  <c r="G26" i="19" l="1"/>
  <c r="M27" i="19"/>
  <c r="H26" i="14"/>
  <c r="G27" i="19" l="1"/>
  <c r="M28" i="19"/>
  <c r="H27" i="14"/>
  <c r="G28" i="19" l="1"/>
  <c r="M29" i="19"/>
  <c r="H28" i="14"/>
  <c r="G29" i="19" l="1"/>
  <c r="M30" i="19"/>
  <c r="H29" i="14"/>
  <c r="G30" i="19" l="1"/>
  <c r="M31" i="19"/>
  <c r="H30" i="14"/>
  <c r="G31" i="19" l="1"/>
  <c r="M32" i="19"/>
  <c r="H31" i="14"/>
  <c r="G32" i="19" l="1"/>
  <c r="M33" i="19"/>
  <c r="H32" i="14"/>
  <c r="G33" i="19" l="1"/>
  <c r="M34" i="19"/>
  <c r="H33" i="14"/>
  <c r="G34" i="19" l="1"/>
  <c r="M35" i="19"/>
  <c r="H34" i="14"/>
  <c r="G35" i="19" l="1"/>
  <c r="M36" i="19"/>
  <c r="H35" i="14"/>
  <c r="G36" i="19" l="1"/>
  <c r="M37" i="19"/>
  <c r="H36" i="14"/>
  <c r="G37" i="19" l="1"/>
  <c r="M38" i="19"/>
  <c r="H37" i="14"/>
  <c r="G38" i="19" l="1"/>
  <c r="M39" i="19"/>
  <c r="H38" i="14"/>
  <c r="G39" i="19" l="1"/>
  <c r="G41" i="19" s="1"/>
  <c r="M41" i="19"/>
  <c r="H39" i="14"/>
  <c r="H41" i="14" l="1"/>
  <c r="M50" i="18" l="1"/>
  <c r="M44" i="18" l="1"/>
  <c r="N44" i="18" s="1"/>
  <c r="R44" i="18" s="1"/>
  <c r="S44" i="18" s="1"/>
  <c r="T44" i="18" s="1"/>
  <c r="M46" i="18"/>
  <c r="N46" i="18" s="1"/>
  <c r="M45" i="18"/>
  <c r="N45" i="18" s="1"/>
  <c r="M42" i="18"/>
  <c r="N42" i="18" s="1"/>
  <c r="R42" i="18" s="1"/>
  <c r="S42" i="18" s="1"/>
  <c r="T42" i="18" s="1"/>
  <c r="M41" i="18"/>
  <c r="N41" i="18" s="1"/>
  <c r="R41" i="18" s="1"/>
  <c r="S41" i="18" s="1"/>
  <c r="T41" i="18" s="1"/>
  <c r="M43" i="18"/>
  <c r="N43" i="18" s="1"/>
  <c r="R43" i="18" s="1"/>
  <c r="S43" i="18" s="1"/>
  <c r="T43" i="18" s="1"/>
  <c r="M47" i="18"/>
  <c r="N47" i="18" s="1"/>
  <c r="M48" i="18"/>
  <c r="N48" i="18" s="1"/>
  <c r="M40" i="18"/>
  <c r="N40" i="18" s="1"/>
  <c r="R40" i="18" l="1"/>
  <c r="S40" i="18" s="1"/>
  <c r="N50" i="18"/>
  <c r="R50" i="18" l="1"/>
  <c r="T40" i="18" l="1"/>
  <c r="T50" i="18" s="1"/>
  <c r="S50" i="18"/>
</calcChain>
</file>

<file path=xl/sharedStrings.xml><?xml version="1.0" encoding="utf-8"?>
<sst xmlns="http://schemas.openxmlformats.org/spreadsheetml/2006/main" count="359" uniqueCount="158">
  <si>
    <t>Annual Fee</t>
  </si>
  <si>
    <t>Total</t>
  </si>
  <si>
    <t>NSPI</t>
  </si>
  <si>
    <t>Monthly Fee</t>
  </si>
  <si>
    <t>%</t>
  </si>
  <si>
    <t>Other</t>
  </si>
  <si>
    <t>Collection Start Date</t>
  </si>
  <si>
    <t>NSPI Fee</t>
  </si>
  <si>
    <t>Revenue Requirement</t>
  </si>
  <si>
    <t>Revenue Requirement Recovered</t>
  </si>
  <si>
    <t>Implementation Month</t>
  </si>
  <si>
    <t>Month</t>
  </si>
  <si>
    <t>Total Revenue Requirement</t>
  </si>
  <si>
    <t>Outstanding Balance to be Recovered</t>
  </si>
  <si>
    <t>Forecast Revenue Requirement</t>
  </si>
  <si>
    <t>Forecast Volumes</t>
  </si>
  <si>
    <t>Customer Volumes for Fee Allocation</t>
  </si>
  <si>
    <t xml:space="preserve">Total IESO NS </t>
  </si>
  <si>
    <t>Berwick Electric Commission</t>
  </si>
  <si>
    <t>Riverport Electric Light Commission</t>
  </si>
  <si>
    <t>Town of Mahone Bay</t>
  </si>
  <si>
    <t>Town of Antigonish</t>
  </si>
  <si>
    <t>Fee Recovered from NSPI</t>
  </si>
  <si>
    <t>NSPI Month End Balance</t>
  </si>
  <si>
    <t>2025/26</t>
  </si>
  <si>
    <t>2026/27</t>
  </si>
  <si>
    <t>2026/27 Effective Month</t>
  </si>
  <si>
    <t>Market Participant</t>
  </si>
  <si>
    <t>Mahone Bay</t>
  </si>
  <si>
    <t>Antigonish</t>
  </si>
  <si>
    <t>Unrecovered Revenue collection End Month</t>
  </si>
  <si>
    <t>Annual Fees</t>
  </si>
  <si>
    <t>Proposed Annual Fee 2025/26</t>
  </si>
  <si>
    <t>Proposed Annual Fee 2026/27</t>
  </si>
  <si>
    <t>Total 2025/26 and 2026/27 Revenue Calculation</t>
  </si>
  <si>
    <t>MWh</t>
  </si>
  <si>
    <t>Revenue Requirement Application</t>
  </si>
  <si>
    <t>Total Fees (2025/26 + 2026/27)</t>
  </si>
  <si>
    <t># Months of Revenue Collection</t>
  </si>
  <si>
    <t>Source of Volumes</t>
  </si>
  <si>
    <t>Interim Fee Recovered before Implementation: 
Feb-2026 to Nov-2026</t>
  </si>
  <si>
    <t/>
  </si>
  <si>
    <t>Total Unrecovered Fees</t>
  </si>
  <si>
    <t>Interest</t>
  </si>
  <si>
    <t>Interest Rate</t>
  </si>
  <si>
    <t>Total Monthly Fee Calculation</t>
  </si>
  <si>
    <t>Monthly Fees</t>
  </si>
  <si>
    <t>Carrying Costs
(Accumulates on Balances Outstanding after Mar-2027)</t>
  </si>
  <si>
    <t>Total Carrying Costs</t>
  </si>
  <si>
    <t>Monthly Carrying Costs</t>
  </si>
  <si>
    <t>Total Fees Including Carrying Costs</t>
  </si>
  <si>
    <t>Carrying Cost Allocation</t>
  </si>
  <si>
    <t>Carrying Costs</t>
  </si>
  <si>
    <t>Total Before Carrying Costs</t>
  </si>
  <si>
    <t>Carrying Costs Recovered</t>
  </si>
  <si>
    <t>Year 3</t>
  </si>
  <si>
    <t>Compliance Filing</t>
  </si>
  <si>
    <t>(Dec-2026)</t>
  </si>
  <si>
    <t>(Dec-2027)</t>
  </si>
  <si>
    <t>2027/28</t>
  </si>
  <si>
    <t>2027/28 Annual Fee Before True-Ups</t>
  </si>
  <si>
    <t>2028/29</t>
  </si>
  <si>
    <t>Total Fee</t>
  </si>
  <si>
    <t>(Jul-2026)</t>
  </si>
  <si>
    <t>Fee Mechanism Application</t>
  </si>
  <si>
    <t xml:space="preserve">Initial 2027/28 Annual Fee </t>
  </si>
  <si>
    <t xml:space="preserve">Initial 2028/29 Annual Fee </t>
  </si>
  <si>
    <t>Monthly Fee 
(4 months)</t>
  </si>
  <si>
    <t>2025/26 &amp; 2026/27 Fees</t>
  </si>
  <si>
    <t>2025/26 Allocation</t>
  </si>
  <si>
    <t>2026/27 Allocation</t>
  </si>
  <si>
    <t>2026/27 True-Up</t>
  </si>
  <si>
    <t>2027/28 Annual Fee with True-Up</t>
  </si>
  <si>
    <t>2027/28 True-Up</t>
  </si>
  <si>
    <t>NSPI Interm Payment</t>
  </si>
  <si>
    <t>Actual Volumes</t>
  </si>
  <si>
    <t>This tab is for Illustrative Purposes Only. Variances are Trued-Up the following year as part of a compliance filing.</t>
  </si>
  <si>
    <t>2025/26 True-Up</t>
  </si>
  <si>
    <t>2028/29 Annual Fee Before True-Up</t>
  </si>
  <si>
    <t>This tab is for Illustrative Purposes Only. Variances are Trued-Up two years later.</t>
  </si>
  <si>
    <t>2025/26 &amp; 2026/27 Fees with 2025/26 Revenue Requirement True-Up</t>
  </si>
  <si>
    <t>2025/26 &amp; 2026/27 Fees before True-Up</t>
  </si>
  <si>
    <t>2025/26 &amp; 2026/27 Monthly Fee Including True-Up (4 months)</t>
  </si>
  <si>
    <t>2026/27 Allocation Adjustment</t>
  </si>
  <si>
    <t>2026/27 Annual Fee Based on Actual Energy %</t>
  </si>
  <si>
    <t>2027/28 Fees with 2026/27 Revenue Requirement True-Up and Allocation Adjustment</t>
  </si>
  <si>
    <t>2027/28 Annual Fee with True-Up and Allocation Adjustment</t>
  </si>
  <si>
    <t>2027/28 Monthly Fee Including True-Up and Allocation Adjustment</t>
  </si>
  <si>
    <t>2027/28 Allocation Adjustment</t>
  </si>
  <si>
    <t>2027/28 Annual Fee Based on Actual Energy %</t>
  </si>
  <si>
    <t>2028/29 Fees with 2027/28 Revenue Requirement True-Up and Allocation Adjustment</t>
  </si>
  <si>
    <t>2028/29 Annual Fee with True-Up and Allocation Adjustment</t>
  </si>
  <si>
    <t>2028/29 Monthly Fee Including True-Up and Allocation Adjustment</t>
  </si>
  <si>
    <t>2028/29 Fees with 2026/27 Revenue Requirement True-Up and Allocation Adjustment</t>
  </si>
  <si>
    <t>2026/27 Load Allocation Adjustment</t>
  </si>
  <si>
    <t>2027/28 Load Allocation Adjustment</t>
  </si>
  <si>
    <t>2027/28 Fees with 2025/26 Revenue Requirement True-Up</t>
  </si>
  <si>
    <t>2027/28 Monthly Fee Including True-Up</t>
  </si>
  <si>
    <t>2026/27 Forecast Revenue Requirement</t>
  </si>
  <si>
    <t>2026/27 Actual Revenue Requirement</t>
  </si>
  <si>
    <t>2026/27 Variance to True-Up</t>
  </si>
  <si>
    <t>2025/26 Forecast Revenue Requirement</t>
  </si>
  <si>
    <t>2025/26 Actual Revenue Requirement</t>
  </si>
  <si>
    <t>2025/26 Variance to True-Up</t>
  </si>
  <si>
    <t xml:space="preserve">2026/27 Annual Fee Based on Actual Energy % </t>
  </si>
  <si>
    <t>2027/28 Forecast Revenue Requirement</t>
  </si>
  <si>
    <t>2027/28 Actual Revenue Requirement</t>
  </si>
  <si>
    <t>2027/28 Variance to True-Up</t>
  </si>
  <si>
    <t>2026/27 Annual Base Fee</t>
  </si>
  <si>
    <t>Annual Base Fee 2026/27</t>
  </si>
  <si>
    <t>Annual Base Fee 2027/28</t>
  </si>
  <si>
    <t>Year 1</t>
  </si>
  <si>
    <t>Year 2</t>
  </si>
  <si>
    <t>2027/28 Base Fee Calculation 
Before True-Ups</t>
  </si>
  <si>
    <t>Initial 2027/28 Base Fee Calculation</t>
  </si>
  <si>
    <t>Initial 2028/29 Base Fee Calculation</t>
  </si>
  <si>
    <t>2028/29 Base Fee Calculation 
Before True-Ups</t>
  </si>
  <si>
    <t xml:space="preserve">2026 Municipal volumes forecast 2026/27 volumes provided by the MEUs. Those values are used as proxy values in 2025 and 2027. </t>
  </si>
  <si>
    <t>Actual Revenue Requirement</t>
  </si>
  <si>
    <t>Total Unrecovered Fees with 2025/26 
True-Up</t>
  </si>
  <si>
    <t>True-Up</t>
  </si>
  <si>
    <t>Option 1</t>
  </si>
  <si>
    <t>2-Year Lag</t>
  </si>
  <si>
    <t>Option 2</t>
  </si>
  <si>
    <t>1-Year Lag</t>
  </si>
  <si>
    <t>Compliance</t>
  </si>
  <si>
    <t>Q2</t>
  </si>
  <si>
    <t>Q3</t>
  </si>
  <si>
    <t>Q4</t>
  </si>
  <si>
    <t>Q1</t>
  </si>
  <si>
    <t>Net Class Requirement</t>
  </si>
  <si>
    <t>Less Losses</t>
  </si>
  <si>
    <t>Class Requirement Less Losses</t>
  </si>
  <si>
    <t>Period</t>
  </si>
  <si>
    <t>2025/26 NSPI Sales: 2025 Q4 &amp; 2026 Q1 FAM Reports (calculated below)</t>
  </si>
  <si>
    <t>Source: NS Power (FAM) Q-6</t>
  </si>
  <si>
    <t>2025/26 Actual %</t>
  </si>
  <si>
    <t>2026/27 Actual %</t>
  </si>
  <si>
    <t>The 2026/27 variance is allocated based on actual 2026/27 volumes and is included with the LSE's 2028/29 Annual Fees.</t>
  </si>
  <si>
    <t>The 2025/26 variance is allocated based on actual 2025/27 volumes and is included with the LSE's 2027/28 Annual Fees.</t>
  </si>
  <si>
    <t>The 2025/26 variance is allocated based on actual 2025/26 volumes and is included with the LSE's 2025/26 &amp; 2026/27 Annual Fees.</t>
  </si>
  <si>
    <t>The 2026/27 variance is allocated based on actual 2026/27 volumes and is included with the LSE's 2027/28 Annual Fees.</t>
  </si>
  <si>
    <t>The 2027/28 variance is allocated based on actual 2027/28 volumes and is included with the LSE's 2028/29 Annual Fees.</t>
  </si>
  <si>
    <t>2027/28 Actual %</t>
  </si>
  <si>
    <t>2025/26 Actual</t>
  </si>
  <si>
    <t>There is no load allocation adjustment for 2025/26 because fees were calculated with actual 2025/26 volumes.</t>
  </si>
  <si>
    <t>2026/27 Fees calculated with forecast 2026/27 energy allocations are recalculated with the actual 2026/27 volumes. The difference for each LSE is included with the LSE's  2027/28 Annual Fees.</t>
  </si>
  <si>
    <t>2027/28 Fees calculated with forecast 2027/28 energy allocations are recalculated with the actual 2027/28 volumes. The difference for each LSE is included with the LSE's 2028/29 Annual Fees.</t>
  </si>
  <si>
    <t>2027/28 Forecast %</t>
  </si>
  <si>
    <t>2028/29 Forecast %</t>
  </si>
  <si>
    <t>2026/27 Forecast %</t>
  </si>
  <si>
    <t>2026/27 Fees originally calculated with forecast 2026/27 energy allocations are recalculated with the actual 2026/27 volumes. The difference for each LSE is included with the LSE's 2028/29 Annual Fees.</t>
  </si>
  <si>
    <t>2026/2 Forecast %</t>
  </si>
  <si>
    <t>2026/27 Forecast</t>
  </si>
  <si>
    <t>202728 Forecast</t>
  </si>
  <si>
    <t>2026/27 Forecast:  2026-2027GRA SR-01 Att 02 PCON EO (Apr-Dec) &amp; 2026-2027 GRA SR-01 Att 03 PCON EO (Jan-Mar)</t>
  </si>
  <si>
    <t>2027/28 Forecast:  2026-2027 GRA SR-01 Att 03 PCON EO (Jan-Dec 2027 forecast used for illustrative purposes)</t>
  </si>
  <si>
    <t>NSP volumes are total MWh sales less MEU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</si>
</sst>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  <numFmt numFmtId="166" formatCode="0.0%"/>
    <numFmt numFmtId="167" formatCode="_(* #,##0.00_);_(* \(#,##0.00\);_(* &quot;-&quot;??_);_(@_)"/>
    <numFmt numFmtId="168" formatCode="0.000%"/>
    <numFmt numFmtId="169" formatCode="_-&quot;$&quot;* #,##0_-;\-&quot;$&quot;* #,##0_-;_-&quot;$&quot;* &quot;-&quot;???_-;_-@_-"/>
    <numFmt numFmtId="170" formatCode="_-&quot;$&quot;* #,##0_-;[Red]\-&quot;$&quot;* #,##0_-;_-&quot;$&quot;* &quot;-&quot;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color theme="0"/>
      <name val="Aptos Narrow"/>
      <family val="2"/>
      <scheme val="minor"/>
    </font>
    <font>
      <b/>
      <i/>
      <sz val="13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" fillId="0" borderId="0" applyFill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 applyFill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247">
    <xf numFmtId="0" fontId="0" fillId="0" borderId="0" xfId="0"/>
    <xf numFmtId="0" fontId="0" fillId="3" borderId="0" xfId="0" applyFill="1" applyAlignment="1">
      <alignment wrapText="1"/>
    </xf>
    <xf numFmtId="0" fontId="0" fillId="3" borderId="0" xfId="0" applyFill="1"/>
    <xf numFmtId="0" fontId="0" fillId="3" borderId="1" xfId="0" applyFill="1" applyBorder="1"/>
    <xf numFmtId="165" fontId="0" fillId="3" borderId="0" xfId="2" applyNumberFormat="1" applyFont="1" applyFill="1" applyBorder="1"/>
    <xf numFmtId="165" fontId="0" fillId="3" borderId="0" xfId="0" applyNumberFormat="1" applyFill="1"/>
    <xf numFmtId="0" fontId="0" fillId="3" borderId="2" xfId="0" applyFill="1" applyBorder="1"/>
    <xf numFmtId="17" fontId="0" fillId="3" borderId="0" xfId="0" applyNumberFormat="1" applyFill="1"/>
    <xf numFmtId="165" fontId="0" fillId="3" borderId="0" xfId="2" applyNumberFormat="1" applyFont="1" applyFill="1"/>
    <xf numFmtId="165" fontId="0" fillId="3" borderId="3" xfId="2" applyNumberFormat="1" applyFont="1" applyFill="1" applyBorder="1"/>
    <xf numFmtId="165" fontId="0" fillId="3" borderId="3" xfId="0" applyNumberFormat="1" applyFill="1" applyBorder="1"/>
    <xf numFmtId="165" fontId="0" fillId="3" borderId="1" xfId="0" applyNumberForma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65" fontId="0" fillId="3" borderId="10" xfId="0" applyNumberFormat="1" applyFill="1" applyBorder="1"/>
    <xf numFmtId="165" fontId="0" fillId="3" borderId="11" xfId="0" applyNumberFormat="1" applyFill="1" applyBorder="1"/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7" fillId="3" borderId="0" xfId="0" applyFont="1" applyFill="1"/>
    <xf numFmtId="0" fontId="0" fillId="3" borderId="10" xfId="0" applyFill="1" applyBorder="1"/>
    <xf numFmtId="0" fontId="0" fillId="3" borderId="12" xfId="0" applyFill="1" applyBorder="1"/>
    <xf numFmtId="165" fontId="3" fillId="3" borderId="15" xfId="0" applyNumberFormat="1" applyFont="1" applyFill="1" applyBorder="1"/>
    <xf numFmtId="0" fontId="0" fillId="3" borderId="15" xfId="0" applyFill="1" applyBorder="1"/>
    <xf numFmtId="165" fontId="3" fillId="3" borderId="16" xfId="0" applyNumberFormat="1" applyFont="1" applyFill="1" applyBorder="1"/>
    <xf numFmtId="17" fontId="3" fillId="3" borderId="0" xfId="0" applyNumberFormat="1" applyFont="1" applyFill="1"/>
    <xf numFmtId="0" fontId="0" fillId="3" borderId="11" xfId="0" applyFill="1" applyBorder="1"/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7" fontId="0" fillId="3" borderId="10" xfId="0" applyNumberFormat="1" applyFill="1" applyBorder="1"/>
    <xf numFmtId="6" fontId="3" fillId="3" borderId="0" xfId="0" applyNumberFormat="1" applyFont="1" applyFill="1"/>
    <xf numFmtId="6" fontId="0" fillId="3" borderId="11" xfId="0" applyNumberFormat="1" applyFill="1" applyBorder="1"/>
    <xf numFmtId="0" fontId="0" fillId="3" borderId="10" xfId="0" applyFill="1" applyBorder="1" applyAlignment="1">
      <alignment horizontal="center"/>
    </xf>
    <xf numFmtId="6" fontId="3" fillId="3" borderId="16" xfId="0" applyNumberFormat="1" applyFont="1" applyFill="1" applyBorder="1"/>
    <xf numFmtId="6" fontId="0" fillId="3" borderId="2" xfId="0" applyNumberFormat="1" applyFill="1" applyBorder="1"/>
    <xf numFmtId="0" fontId="0" fillId="3" borderId="22" xfId="0" applyFill="1" applyBorder="1"/>
    <xf numFmtId="6" fontId="0" fillId="3" borderId="24" xfId="0" applyNumberFormat="1" applyFill="1" applyBorder="1"/>
    <xf numFmtId="165" fontId="0" fillId="3" borderId="11" xfId="2" applyNumberFormat="1" applyFont="1" applyFill="1" applyBorder="1"/>
    <xf numFmtId="165" fontId="3" fillId="3" borderId="12" xfId="0" applyNumberFormat="1" applyFont="1" applyFill="1" applyBorder="1"/>
    <xf numFmtId="165" fontId="0" fillId="3" borderId="24" xfId="2" applyNumberFormat="1" applyFont="1" applyFill="1" applyBorder="1"/>
    <xf numFmtId="0" fontId="0" fillId="3" borderId="26" xfId="0" applyFill="1" applyBorder="1"/>
    <xf numFmtId="0" fontId="3" fillId="3" borderId="27" xfId="0" applyFont="1" applyFill="1" applyBorder="1"/>
    <xf numFmtId="0" fontId="0" fillId="4" borderId="25" xfId="0" applyFill="1" applyBorder="1"/>
    <xf numFmtId="6" fontId="0" fillId="3" borderId="20" xfId="0" applyNumberFormat="1" applyFill="1" applyBorder="1"/>
    <xf numFmtId="0" fontId="0" fillId="3" borderId="28" xfId="0" applyFill="1" applyBorder="1"/>
    <xf numFmtId="165" fontId="0" fillId="3" borderId="20" xfId="2" applyNumberFormat="1" applyFont="1" applyFill="1" applyBorder="1"/>
    <xf numFmtId="165" fontId="0" fillId="3" borderId="29" xfId="2" applyNumberFormat="1" applyFont="1" applyFill="1" applyBorder="1"/>
    <xf numFmtId="165" fontId="3" fillId="3" borderId="21" xfId="0" applyNumberFormat="1" applyFont="1" applyFill="1" applyBorder="1"/>
    <xf numFmtId="165" fontId="3" fillId="3" borderId="14" xfId="0" applyNumberFormat="1" applyFont="1" applyFill="1" applyBorder="1"/>
    <xf numFmtId="17" fontId="6" fillId="5" borderId="10" xfId="0" applyNumberFormat="1" applyFont="1" applyFill="1" applyBorder="1"/>
    <xf numFmtId="165" fontId="6" fillId="5" borderId="0" xfId="0" applyNumberFormat="1" applyFont="1" applyFill="1"/>
    <xf numFmtId="165" fontId="6" fillId="5" borderId="0" xfId="2" applyNumberFormat="1" applyFont="1" applyFill="1" applyBorder="1"/>
    <xf numFmtId="17" fontId="6" fillId="5" borderId="12" xfId="0" applyNumberFormat="1" applyFont="1" applyFill="1" applyBorder="1"/>
    <xf numFmtId="165" fontId="6" fillId="5" borderId="15" xfId="0" applyNumberFormat="1" applyFont="1" applyFill="1" applyBorder="1"/>
    <xf numFmtId="165" fontId="6" fillId="5" borderId="15" xfId="2" applyNumberFormat="1" applyFont="1" applyFill="1" applyBorder="1"/>
    <xf numFmtId="165" fontId="0" fillId="5" borderId="11" xfId="0" applyNumberFormat="1" applyFill="1" applyBorder="1"/>
    <xf numFmtId="165" fontId="0" fillId="5" borderId="16" xfId="0" applyNumberFormat="1" applyFill="1" applyBorder="1"/>
    <xf numFmtId="0" fontId="0" fillId="3" borderId="17" xfId="0" applyFill="1" applyBorder="1"/>
    <xf numFmtId="17" fontId="0" fillId="3" borderId="18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4" fillId="4" borderId="5" xfId="0" applyFont="1" applyFill="1" applyBorder="1" applyAlignment="1">
      <alignment wrapText="1"/>
    </xf>
    <xf numFmtId="0" fontId="3" fillId="3" borderId="12" xfId="0" applyFont="1" applyFill="1" applyBorder="1"/>
    <xf numFmtId="0" fontId="6" fillId="3" borderId="0" xfId="0" applyFont="1" applyFill="1"/>
    <xf numFmtId="6" fontId="0" fillId="2" borderId="15" xfId="0" applyNumberFormat="1" applyFill="1" applyBorder="1" applyAlignment="1">
      <alignment horizontal="center"/>
    </xf>
    <xf numFmtId="6" fontId="0" fillId="2" borderId="16" xfId="0" applyNumberFormat="1" applyFill="1" applyBorder="1" applyAlignment="1">
      <alignment horizontal="center"/>
    </xf>
    <xf numFmtId="165" fontId="0" fillId="2" borderId="18" xfId="2" applyNumberFormat="1" applyFont="1" applyFill="1" applyBorder="1"/>
    <xf numFmtId="6" fontId="3" fillId="3" borderId="13" xfId="0" applyNumberFormat="1" applyFont="1" applyFill="1" applyBorder="1"/>
    <xf numFmtId="166" fontId="3" fillId="3" borderId="14" xfId="0" applyNumberFormat="1" applyFont="1" applyFill="1" applyBorder="1"/>
    <xf numFmtId="17" fontId="0" fillId="3" borderId="23" xfId="0" applyNumberFormat="1" applyFill="1" applyBorder="1"/>
    <xf numFmtId="165" fontId="0" fillId="3" borderId="24" xfId="0" applyNumberFormat="1" applyFill="1" applyBorder="1"/>
    <xf numFmtId="165" fontId="0" fillId="3" borderId="23" xfId="0" applyNumberFormat="1" applyFill="1" applyBorder="1"/>
    <xf numFmtId="0" fontId="4" fillId="3" borderId="0" xfId="0" applyFont="1" applyFill="1"/>
    <xf numFmtId="165" fontId="4" fillId="3" borderId="0" xfId="0" applyNumberFormat="1" applyFont="1" applyFill="1"/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5" fontId="3" fillId="3" borderId="0" xfId="0" applyNumberFormat="1" applyFont="1" applyFill="1"/>
    <xf numFmtId="10" fontId="0" fillId="2" borderId="1" xfId="3" applyNumberFormat="1" applyFont="1" applyFill="1" applyBorder="1"/>
    <xf numFmtId="165" fontId="0" fillId="3" borderId="12" xfId="0" applyNumberFormat="1" applyFill="1" applyBorder="1"/>
    <xf numFmtId="165" fontId="0" fillId="3" borderId="16" xfId="0" applyNumberFormat="1" applyFill="1" applyBorder="1"/>
    <xf numFmtId="0" fontId="2" fillId="4" borderId="0" xfId="0" applyFont="1" applyFill="1" applyAlignment="1">
      <alignment horizontal="center" vertical="center" wrapText="1"/>
    </xf>
    <xf numFmtId="17" fontId="0" fillId="3" borderId="12" xfId="0" applyNumberFormat="1" applyFill="1" applyBorder="1"/>
    <xf numFmtId="165" fontId="0" fillId="3" borderId="15" xfId="0" applyNumberFormat="1" applyFill="1" applyBorder="1"/>
    <xf numFmtId="165" fontId="0" fillId="3" borderId="15" xfId="2" applyNumberFormat="1" applyFont="1" applyFill="1" applyBorder="1"/>
    <xf numFmtId="0" fontId="2" fillId="4" borderId="4" xfId="0" applyFont="1" applyFill="1" applyBorder="1" applyAlignment="1">
      <alignment horizontal="center"/>
    </xf>
    <xf numFmtId="6" fontId="0" fillId="3" borderId="26" xfId="0" applyNumberFormat="1" applyFill="1" applyBorder="1" applyAlignment="1">
      <alignment horizontal="center"/>
    </xf>
    <xf numFmtId="0" fontId="0" fillId="3" borderId="30" xfId="0" applyFill="1" applyBorder="1"/>
    <xf numFmtId="165" fontId="0" fillId="3" borderId="26" xfId="2" applyNumberFormat="1" applyFont="1" applyFill="1" applyBorder="1"/>
    <xf numFmtId="165" fontId="0" fillId="3" borderId="31" xfId="2" applyNumberFormat="1" applyFont="1" applyFill="1" applyBorder="1"/>
    <xf numFmtId="165" fontId="3" fillId="3" borderId="27" xfId="0" applyNumberFormat="1" applyFont="1" applyFill="1" applyBorder="1"/>
    <xf numFmtId="0" fontId="2" fillId="4" borderId="21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/>
    </xf>
    <xf numFmtId="165" fontId="6" fillId="5" borderId="10" xfId="0" applyNumberFormat="1" applyFont="1" applyFill="1" applyBorder="1"/>
    <xf numFmtId="165" fontId="6" fillId="5" borderId="12" xfId="0" applyNumberFormat="1" applyFont="1" applyFill="1" applyBorder="1"/>
    <xf numFmtId="168" fontId="0" fillId="2" borderId="35" xfId="3" applyNumberFormat="1" applyFont="1" applyFill="1" applyBorder="1"/>
    <xf numFmtId="165" fontId="6" fillId="5" borderId="5" xfId="0" applyNumberFormat="1" applyFont="1" applyFill="1" applyBorder="1"/>
    <xf numFmtId="165" fontId="6" fillId="5" borderId="8" xfId="2" applyNumberFormat="1" applyFont="1" applyFill="1" applyBorder="1"/>
    <xf numFmtId="0" fontId="2" fillId="4" borderId="36" xfId="0" applyFont="1" applyFill="1" applyBorder="1" applyAlignment="1">
      <alignment horizontal="center" vertical="center" wrapText="1"/>
    </xf>
    <xf numFmtId="165" fontId="0" fillId="3" borderId="37" xfId="0" applyNumberFormat="1" applyFill="1" applyBorder="1"/>
    <xf numFmtId="165" fontId="0" fillId="3" borderId="38" xfId="0" applyNumberFormat="1" applyFill="1" applyBorder="1"/>
    <xf numFmtId="165" fontId="0" fillId="3" borderId="39" xfId="0" applyNumberFormat="1" applyFill="1" applyBorder="1"/>
    <xf numFmtId="165" fontId="0" fillId="5" borderId="37" xfId="0" applyNumberFormat="1" applyFill="1" applyBorder="1"/>
    <xf numFmtId="165" fontId="0" fillId="5" borderId="39" xfId="0" applyNumberFormat="1" applyFill="1" applyBorder="1"/>
    <xf numFmtId="165" fontId="6" fillId="5" borderId="6" xfId="2" applyNumberFormat="1" applyFont="1" applyFill="1" applyBorder="1"/>
    <xf numFmtId="165" fontId="6" fillId="5" borderId="2" xfId="2" applyNumberFormat="1" applyFont="1" applyFill="1" applyBorder="1"/>
    <xf numFmtId="165" fontId="6" fillId="5" borderId="13" xfId="2" applyNumberFormat="1" applyFont="1" applyFill="1" applyBorder="1"/>
    <xf numFmtId="0" fontId="11" fillId="3" borderId="0" xfId="0" applyFont="1" applyFill="1"/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165" fontId="6" fillId="3" borderId="10" xfId="0" applyNumberFormat="1" applyFont="1" applyFill="1" applyBorder="1"/>
    <xf numFmtId="165" fontId="6" fillId="3" borderId="2" xfId="2" applyNumberFormat="1" applyFont="1" applyFill="1" applyBorder="1"/>
    <xf numFmtId="165" fontId="6" fillId="3" borderId="33" xfId="0" applyNumberFormat="1" applyFont="1" applyFill="1" applyBorder="1"/>
    <xf numFmtId="0" fontId="6" fillId="3" borderId="11" xfId="0" applyFont="1" applyFill="1" applyBorder="1"/>
    <xf numFmtId="165" fontId="6" fillId="3" borderId="16" xfId="0" applyNumberFormat="1" applyFont="1" applyFill="1" applyBorder="1"/>
    <xf numFmtId="165" fontId="6" fillId="5" borderId="32" xfId="0" applyNumberFormat="1" applyFont="1" applyFill="1" applyBorder="1"/>
    <xf numFmtId="169" fontId="6" fillId="5" borderId="11" xfId="0" applyNumberFormat="1" applyFont="1" applyFill="1" applyBorder="1"/>
    <xf numFmtId="165" fontId="6" fillId="5" borderId="33" xfId="0" applyNumberFormat="1" applyFont="1" applyFill="1" applyBorder="1"/>
    <xf numFmtId="165" fontId="6" fillId="5" borderId="34" xfId="0" applyNumberFormat="1" applyFont="1" applyFill="1" applyBorder="1"/>
    <xf numFmtId="169" fontId="6" fillId="5" borderId="16" xfId="0" applyNumberFormat="1" applyFont="1" applyFill="1" applyBorder="1"/>
    <xf numFmtId="165" fontId="6" fillId="3" borderId="0" xfId="0" applyNumberFormat="1" applyFont="1" applyFill="1"/>
    <xf numFmtId="169" fontId="6" fillId="3" borderId="0" xfId="0" applyNumberFormat="1" applyFont="1" applyFill="1"/>
    <xf numFmtId="168" fontId="0" fillId="3" borderId="0" xfId="3" applyNumberFormat="1" applyFont="1" applyFill="1"/>
    <xf numFmtId="0" fontId="0" fillId="3" borderId="15" xfId="0" applyFill="1" applyBorder="1" applyAlignment="1">
      <alignment horizontal="center"/>
    </xf>
    <xf numFmtId="165" fontId="3" fillId="3" borderId="13" xfId="0" applyNumberFormat="1" applyFont="1" applyFill="1" applyBorder="1"/>
    <xf numFmtId="10" fontId="0" fillId="3" borderId="1" xfId="3" applyNumberFormat="1" applyFont="1" applyFill="1" applyBorder="1"/>
    <xf numFmtId="0" fontId="6" fillId="3" borderId="15" xfId="0" applyFont="1" applyFill="1" applyBorder="1"/>
    <xf numFmtId="0" fontId="0" fillId="3" borderId="8" xfId="0" applyFill="1" applyBorder="1"/>
    <xf numFmtId="0" fontId="6" fillId="3" borderId="15" xfId="0" applyFont="1" applyFill="1" applyBorder="1" applyAlignment="1">
      <alignment horizontal="center"/>
    </xf>
    <xf numFmtId="17" fontId="0" fillId="3" borderId="0" xfId="0" applyNumberFormat="1" applyFill="1" applyAlignment="1">
      <alignment horizontal="center"/>
    </xf>
    <xf numFmtId="0" fontId="0" fillId="3" borderId="11" xfId="0" applyFill="1" applyBorder="1" applyAlignment="1">
      <alignment wrapText="1"/>
    </xf>
    <xf numFmtId="10" fontId="0" fillId="3" borderId="10" xfId="0" applyNumberFormat="1" applyFill="1" applyBorder="1"/>
    <xf numFmtId="10" fontId="3" fillId="3" borderId="14" xfId="0" applyNumberFormat="1" applyFont="1" applyFill="1" applyBorder="1"/>
    <xf numFmtId="6" fontId="0" fillId="3" borderId="1" xfId="0" applyNumberFormat="1" applyFill="1" applyBorder="1"/>
    <xf numFmtId="10" fontId="0" fillId="3" borderId="0" xfId="0" applyNumberFormat="1" applyFill="1"/>
    <xf numFmtId="6" fontId="0" fillId="3" borderId="10" xfId="0" applyNumberFormat="1" applyFill="1" applyBorder="1"/>
    <xf numFmtId="0" fontId="14" fillId="3" borderId="0" xfId="0" applyFont="1" applyFill="1"/>
    <xf numFmtId="165" fontId="3" fillId="2" borderId="16" xfId="0" applyNumberFormat="1" applyFont="1" applyFill="1" applyBorder="1"/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/>
    <xf numFmtId="0" fontId="2" fillId="4" borderId="43" xfId="0" applyFont="1" applyFill="1" applyBorder="1"/>
    <xf numFmtId="3" fontId="0" fillId="3" borderId="10" xfId="0" applyNumberFormat="1" applyFill="1" applyBorder="1"/>
    <xf numFmtId="10" fontId="0" fillId="3" borderId="3" xfId="0" applyNumberFormat="1" applyFill="1" applyBorder="1" applyAlignment="1">
      <alignment horizontal="center"/>
    </xf>
    <xf numFmtId="3" fontId="3" fillId="3" borderId="12" xfId="0" applyNumberFormat="1" applyFont="1" applyFill="1" applyBorder="1"/>
    <xf numFmtId="9" fontId="3" fillId="3" borderId="15" xfId="3" applyFont="1" applyFill="1" applyBorder="1" applyAlignment="1">
      <alignment horizontal="center"/>
    </xf>
    <xf numFmtId="164" fontId="3" fillId="3" borderId="12" xfId="1" applyNumberFormat="1" applyFont="1" applyFill="1" applyBorder="1"/>
    <xf numFmtId="10" fontId="2" fillId="4" borderId="5" xfId="0" applyNumberFormat="1" applyFont="1" applyFill="1" applyBorder="1" applyAlignment="1">
      <alignment horizontal="center" vertical="center" wrapText="1"/>
    </xf>
    <xf numFmtId="10" fontId="2" fillId="4" borderId="7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/>
    <xf numFmtId="0" fontId="3" fillId="3" borderId="0" xfId="0" applyFont="1" applyFill="1" applyAlignment="1">
      <alignment wrapText="1"/>
    </xf>
    <xf numFmtId="10" fontId="3" fillId="3" borderId="12" xfId="0" applyNumberFormat="1" applyFont="1" applyFill="1" applyBorder="1"/>
    <xf numFmtId="0" fontId="3" fillId="3" borderId="8" xfId="0" applyFont="1" applyFill="1" applyBorder="1" applyAlignment="1">
      <alignment wrapText="1"/>
    </xf>
    <xf numFmtId="6" fontId="3" fillId="3" borderId="15" xfId="0" applyNumberFormat="1" applyFont="1" applyFill="1" applyBorder="1"/>
    <xf numFmtId="0" fontId="6" fillId="3" borderId="0" xfId="0" applyFont="1" applyFill="1" applyAlignment="1">
      <alignment horizontal="left" wrapText="1"/>
    </xf>
    <xf numFmtId="6" fontId="0" fillId="3" borderId="0" xfId="0" applyNumberFormat="1" applyFill="1"/>
    <xf numFmtId="0" fontId="6" fillId="3" borderId="0" xfId="0" applyFont="1" applyFill="1" applyAlignment="1">
      <alignment wrapText="1"/>
    </xf>
    <xf numFmtId="44" fontId="0" fillId="3" borderId="0" xfId="0" applyNumberFormat="1" applyFill="1"/>
    <xf numFmtId="10" fontId="0" fillId="3" borderId="10" xfId="3" applyNumberFormat="1" applyFont="1" applyFill="1" applyBorder="1"/>
    <xf numFmtId="10" fontId="3" fillId="3" borderId="12" xfId="3" applyNumberFormat="1" applyFont="1" applyFill="1" applyBorder="1"/>
    <xf numFmtId="10" fontId="0" fillId="2" borderId="10" xfId="0" applyNumberFormat="1" applyFill="1" applyBorder="1"/>
    <xf numFmtId="0" fontId="0" fillId="3" borderId="5" xfId="0" applyFill="1" applyBorder="1"/>
    <xf numFmtId="0" fontId="6" fillId="3" borderId="8" xfId="0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vertical="center" wrapText="1"/>
    </xf>
    <xf numFmtId="0" fontId="6" fillId="3" borderId="15" xfId="0" applyFont="1" applyFill="1" applyBorder="1" applyAlignment="1">
      <alignment horizontal="right"/>
    </xf>
    <xf numFmtId="165" fontId="0" fillId="3" borderId="9" xfId="0" applyNumberFormat="1" applyFill="1" applyBorder="1"/>
    <xf numFmtId="165" fontId="0" fillId="2" borderId="24" xfId="0" applyNumberFormat="1" applyFill="1" applyBorder="1"/>
    <xf numFmtId="6" fontId="0" fillId="3" borderId="9" xfId="0" applyNumberFormat="1" applyFill="1" applyBorder="1"/>
    <xf numFmtId="6" fontId="3" fillId="3" borderId="8" xfId="0" applyNumberFormat="1" applyFont="1" applyFill="1" applyBorder="1"/>
    <xf numFmtId="0" fontId="0" fillId="4" borderId="31" xfId="0" applyFill="1" applyBorder="1"/>
    <xf numFmtId="10" fontId="0" fillId="3" borderId="0" xfId="0" applyNumberFormat="1" applyFill="1" applyAlignment="1">
      <alignment horizontal="center"/>
    </xf>
    <xf numFmtId="9" fontId="0" fillId="3" borderId="0" xfId="0" applyNumberFormat="1" applyFill="1" applyAlignment="1">
      <alignment horizontal="center"/>
    </xf>
    <xf numFmtId="0" fontId="2" fillId="4" borderId="43" xfId="0" applyFont="1" applyFill="1" applyBorder="1" applyAlignment="1">
      <alignment horizontal="center"/>
    </xf>
    <xf numFmtId="9" fontId="3" fillId="3" borderId="12" xfId="3" applyFont="1" applyFill="1" applyBorder="1"/>
    <xf numFmtId="166" fontId="0" fillId="3" borderId="10" xfId="3" applyNumberFormat="1" applyFont="1" applyFill="1" applyBorder="1"/>
    <xf numFmtId="6" fontId="0" fillId="2" borderId="0" xfId="0" applyNumberFormat="1" applyFill="1" applyAlignment="1">
      <alignment horizontal="center"/>
    </xf>
    <xf numFmtId="6" fontId="0" fillId="2" borderId="11" xfId="0" applyNumberFormat="1" applyFill="1" applyBorder="1" applyAlignment="1">
      <alignment horizontal="center"/>
    </xf>
    <xf numFmtId="10" fontId="0" fillId="2" borderId="0" xfId="0" applyNumberFormat="1" applyFill="1"/>
    <xf numFmtId="0" fontId="3" fillId="3" borderId="12" xfId="0" applyFont="1" applyFill="1" applyBorder="1" applyAlignment="1">
      <alignment horizontal="center"/>
    </xf>
    <xf numFmtId="165" fontId="0" fillId="3" borderId="26" xfId="0" applyNumberFormat="1" applyFill="1" applyBorder="1" applyAlignment="1">
      <alignment horizontal="center"/>
    </xf>
    <xf numFmtId="170" fontId="0" fillId="3" borderId="0" xfId="2" applyNumberFormat="1" applyFont="1" applyFill="1" applyBorder="1"/>
    <xf numFmtId="170" fontId="3" fillId="3" borderId="15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 vertical="center" wrapText="1"/>
    </xf>
    <xf numFmtId="165" fontId="6" fillId="3" borderId="12" xfId="0" applyNumberFormat="1" applyFont="1" applyFill="1" applyBorder="1"/>
    <xf numFmtId="165" fontId="6" fillId="3" borderId="34" xfId="0" applyNumberFormat="1" applyFont="1" applyFill="1" applyBorder="1"/>
    <xf numFmtId="164" fontId="0" fillId="3" borderId="0" xfId="1" applyNumberFormat="1" applyFont="1" applyFill="1"/>
    <xf numFmtId="164" fontId="0" fillId="3" borderId="35" xfId="1" applyNumberFormat="1" applyFont="1" applyFill="1" applyBorder="1"/>
    <xf numFmtId="164" fontId="3" fillId="3" borderId="35" xfId="1" applyNumberFormat="1" applyFont="1" applyFill="1" applyBorder="1"/>
    <xf numFmtId="0" fontId="0" fillId="3" borderId="35" xfId="0" applyFill="1" applyBorder="1" applyAlignment="1">
      <alignment horizontal="center"/>
    </xf>
    <xf numFmtId="164" fontId="0" fillId="3" borderId="35" xfId="1" applyNumberFormat="1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0" fillId="3" borderId="11" xfId="0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6" fontId="0" fillId="3" borderId="5" xfId="0" applyNumberFormat="1" applyFill="1" applyBorder="1" applyAlignment="1">
      <alignment horizontal="center"/>
    </xf>
    <xf numFmtId="6" fontId="0" fillId="3" borderId="8" xfId="0" applyNumberFormat="1" applyFill="1" applyBorder="1" applyAlignment="1">
      <alignment horizontal="center"/>
    </xf>
    <xf numFmtId="6" fontId="0" fillId="3" borderId="9" xfId="0" applyNumberForma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3" fillId="3" borderId="15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3" borderId="11" xfId="0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wrapText="1"/>
    </xf>
    <xf numFmtId="3" fontId="0" fillId="2" borderId="0" xfId="0" applyNumberFormat="1" applyFill="1" applyBorder="1"/>
    <xf numFmtId="0" fontId="0" fillId="2" borderId="0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3" fontId="0" fillId="2" borderId="11" xfId="0" applyNumberFormat="1" applyFill="1" applyBorder="1"/>
    <xf numFmtId="0" fontId="0" fillId="2" borderId="11" xfId="0" applyFill="1" applyBorder="1"/>
    <xf numFmtId="9" fontId="0" fillId="3" borderId="11" xfId="0" applyNumberFormat="1" applyFill="1" applyBorder="1"/>
    <xf numFmtId="0" fontId="0" fillId="3" borderId="12" xfId="0" applyFill="1" applyBorder="1" applyAlignment="1">
      <alignment horizontal="center"/>
    </xf>
    <xf numFmtId="164" fontId="0" fillId="3" borderId="15" xfId="1" applyNumberFormat="1" applyFont="1" applyFill="1" applyBorder="1"/>
    <xf numFmtId="164" fontId="0" fillId="3" borderId="16" xfId="1" applyNumberFormat="1" applyFont="1" applyFill="1" applyBorder="1"/>
    <xf numFmtId="0" fontId="0" fillId="3" borderId="0" xfId="0" applyFill="1" applyBorder="1" applyAlignment="1">
      <alignment horizont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43" fontId="0" fillId="3" borderId="0" xfId="1" applyFont="1" applyFill="1"/>
  </cellXfs>
  <cellStyles count="13">
    <cellStyle name="Comma" xfId="1" builtinId="3"/>
    <cellStyle name="Comma 2" xfId="4" xr:uid="{69B6306A-0483-420B-B502-1CE603B0B94A}"/>
    <cellStyle name="Comma 2 2" xfId="9" xr:uid="{E366ACBC-7089-4CD0-ADDB-8E91FA0BBC0C}"/>
    <cellStyle name="Comma 2 3" xfId="12" xr:uid="{E7174B4C-CE04-4D3D-89EB-9ED385B2DB50}"/>
    <cellStyle name="Comma 3" xfId="7" xr:uid="{806446DE-DF16-48D3-8119-87C66C27C7BF}"/>
    <cellStyle name="Currency" xfId="2" builtinId="4"/>
    <cellStyle name="Normal" xfId="0" builtinId="0"/>
    <cellStyle name="Normal 2" xfId="5" xr:uid="{FC3AA842-E781-4B3A-8503-9AEAD9C97412}"/>
    <cellStyle name="Normal 2 2" xfId="11" xr:uid="{F5455C7A-3079-44BD-B635-610E107D65FF}"/>
    <cellStyle name="Normal 3" xfId="8" xr:uid="{02966983-6745-4DD7-ADE0-D4A00D339157}"/>
    <cellStyle name="Percent" xfId="3" builtinId="5"/>
    <cellStyle name="Percent 2" xfId="6" xr:uid="{D76C6A70-E850-4A49-90C8-DCF0E0895C7D}"/>
    <cellStyle name="Percent 4" xfId="10" xr:uid="{FF929BEA-9E9F-44BB-807E-3FB659C84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59F6-63AA-407E-81DD-1131E83D19B4}">
  <sheetPr codeName="Sheet1">
    <tabColor theme="9" tint="0.79998168889431442"/>
  </sheetPr>
  <dimension ref="B1:L32"/>
  <sheetViews>
    <sheetView tabSelected="1" zoomScale="115" zoomScaleNormal="115" workbookViewId="0">
      <selection activeCell="G3" sqref="G3"/>
    </sheetView>
  </sheetViews>
  <sheetFormatPr defaultColWidth="8.88671875" defaultRowHeight="14.4" x14ac:dyDescent="0.3"/>
  <cols>
    <col min="1" max="1" width="8.88671875" style="2"/>
    <col min="2" max="2" width="30.6640625" style="2" customWidth="1"/>
    <col min="3" max="3" width="17.6640625" style="2" customWidth="1"/>
    <col min="4" max="4" width="13.6640625" style="2" bestFit="1" customWidth="1"/>
    <col min="5" max="5" width="12.6640625" style="2" customWidth="1"/>
    <col min="6" max="6" width="13.5546875" style="2" customWidth="1"/>
    <col min="7" max="7" width="13.77734375" style="2" customWidth="1"/>
    <col min="8" max="8" width="7.5546875" style="2" customWidth="1"/>
    <col min="9" max="9" width="6.77734375" style="2" customWidth="1"/>
    <col min="10" max="10" width="12.88671875" style="2" customWidth="1"/>
    <col min="11" max="11" width="10.5546875" style="2" bestFit="1" customWidth="1"/>
    <col min="12" max="12" width="12.88671875" style="2" customWidth="1"/>
    <col min="13" max="13" width="12.77734375" style="2" customWidth="1"/>
    <col min="14" max="16384" width="8.88671875" style="2"/>
  </cols>
  <sheetData>
    <row r="1" spans="2:8" ht="15" thickBot="1" x14ac:dyDescent="0.35"/>
    <row r="2" spans="2:8" x14ac:dyDescent="0.3">
      <c r="B2" s="207" t="s">
        <v>8</v>
      </c>
      <c r="C2" s="208"/>
      <c r="D2" s="209"/>
    </row>
    <row r="3" spans="2:8" x14ac:dyDescent="0.3">
      <c r="B3" s="23"/>
      <c r="C3" s="96" t="s">
        <v>24</v>
      </c>
      <c r="D3" s="97" t="s">
        <v>25</v>
      </c>
    </row>
    <row r="4" spans="2:8" x14ac:dyDescent="0.3">
      <c r="B4" s="23" t="s">
        <v>14</v>
      </c>
      <c r="C4" s="183">
        <v>5306824</v>
      </c>
      <c r="D4" s="184">
        <v>14850121</v>
      </c>
    </row>
    <row r="5" spans="2:8" ht="15" thickBot="1" x14ac:dyDescent="0.35">
      <c r="B5" s="24" t="s">
        <v>118</v>
      </c>
      <c r="C5" s="67">
        <v>4992983</v>
      </c>
      <c r="D5" s="68"/>
    </row>
    <row r="6" spans="2:8" ht="15" thickBot="1" x14ac:dyDescent="0.35"/>
    <row r="7" spans="2:8" x14ac:dyDescent="0.3">
      <c r="B7" s="207" t="s">
        <v>16</v>
      </c>
      <c r="C7" s="208"/>
      <c r="D7" s="208"/>
      <c r="E7" s="209"/>
    </row>
    <row r="8" spans="2:8" x14ac:dyDescent="0.3">
      <c r="B8" s="23"/>
      <c r="C8" s="231"/>
      <c r="D8" s="231"/>
      <c r="E8" s="29"/>
      <c r="H8" s="246"/>
    </row>
    <row r="9" spans="2:8" x14ac:dyDescent="0.3">
      <c r="B9" s="23"/>
      <c r="C9" s="232" t="s">
        <v>75</v>
      </c>
      <c r="D9" s="233" t="s">
        <v>15</v>
      </c>
      <c r="E9" s="234"/>
    </row>
    <row r="10" spans="2:8" ht="28.8" x14ac:dyDescent="0.3">
      <c r="B10" s="23"/>
      <c r="C10" s="242" t="s">
        <v>144</v>
      </c>
      <c r="D10" s="242" t="s">
        <v>153</v>
      </c>
      <c r="E10" s="200" t="s">
        <v>154</v>
      </c>
      <c r="H10" s="19" t="s">
        <v>39</v>
      </c>
    </row>
    <row r="11" spans="2:8" x14ac:dyDescent="0.3">
      <c r="B11" s="23"/>
      <c r="C11" s="232" t="s">
        <v>35</v>
      </c>
      <c r="D11" s="232" t="s">
        <v>35</v>
      </c>
      <c r="E11" s="235" t="s">
        <v>35</v>
      </c>
      <c r="H11" s="2" t="s">
        <v>157</v>
      </c>
    </row>
    <row r="12" spans="2:8" x14ac:dyDescent="0.3">
      <c r="B12" s="35" t="s">
        <v>2</v>
      </c>
      <c r="C12" s="229">
        <f>L31-C13-C14-C15-C16</f>
        <v>10634708.041999999</v>
      </c>
      <c r="D12" s="229">
        <f>(7417925+3262236)-D13-D14-D15-D16</f>
        <v>10525592.041999999</v>
      </c>
      <c r="E12" s="236">
        <f>10624240-E13-E14-E15-E16</f>
        <v>10469671.041999999</v>
      </c>
      <c r="H12" s="2" t="s">
        <v>155</v>
      </c>
    </row>
    <row r="13" spans="2:8" x14ac:dyDescent="0.3">
      <c r="B13" s="35" t="s">
        <v>18</v>
      </c>
      <c r="C13" s="229">
        <f>D13</f>
        <v>39918.5</v>
      </c>
      <c r="D13" s="229">
        <v>39918.5</v>
      </c>
      <c r="E13" s="236">
        <f>D13</f>
        <v>39918.5</v>
      </c>
      <c r="H13" s="2" t="s">
        <v>156</v>
      </c>
    </row>
    <row r="14" spans="2:8" x14ac:dyDescent="0.3">
      <c r="B14" s="35" t="s">
        <v>19</v>
      </c>
      <c r="C14" s="229">
        <f>D14</f>
        <v>9525.5939999999991</v>
      </c>
      <c r="D14" s="229">
        <v>9525.5939999999991</v>
      </c>
      <c r="E14" s="236">
        <f t="shared" ref="E14:E16" si="0">D14</f>
        <v>9525.5939999999991</v>
      </c>
      <c r="H14" s="2" t="s">
        <v>134</v>
      </c>
    </row>
    <row r="15" spans="2:8" x14ac:dyDescent="0.3">
      <c r="B15" s="35" t="s">
        <v>20</v>
      </c>
      <c r="C15" s="229">
        <f>D15</f>
        <v>14625.321</v>
      </c>
      <c r="D15" s="229">
        <v>14625.321</v>
      </c>
      <c r="E15" s="236">
        <f t="shared" si="0"/>
        <v>14625.321</v>
      </c>
    </row>
    <row r="16" spans="2:8" x14ac:dyDescent="0.3">
      <c r="B16" s="35" t="s">
        <v>21</v>
      </c>
      <c r="C16" s="229">
        <f>D16</f>
        <v>90499.543000000005</v>
      </c>
      <c r="D16" s="229">
        <v>90499.543000000005</v>
      </c>
      <c r="E16" s="236">
        <f t="shared" si="0"/>
        <v>90499.543000000005</v>
      </c>
      <c r="H16" s="2" t="s">
        <v>117</v>
      </c>
    </row>
    <row r="17" spans="2:12" x14ac:dyDescent="0.3">
      <c r="B17" s="35" t="s">
        <v>5</v>
      </c>
      <c r="C17" s="229"/>
      <c r="D17" s="230"/>
      <c r="E17" s="237"/>
    </row>
    <row r="18" spans="2:12" x14ac:dyDescent="0.3">
      <c r="B18" s="35" t="s">
        <v>5</v>
      </c>
      <c r="C18" s="229"/>
      <c r="D18" s="230"/>
      <c r="E18" s="237"/>
      <c r="J18" s="194"/>
    </row>
    <row r="19" spans="2:12" x14ac:dyDescent="0.3">
      <c r="B19" s="35" t="s">
        <v>5</v>
      </c>
      <c r="C19" s="229"/>
      <c r="D19" s="230"/>
      <c r="E19" s="237"/>
    </row>
    <row r="20" spans="2:12" x14ac:dyDescent="0.3">
      <c r="B20" s="35" t="s">
        <v>5</v>
      </c>
      <c r="C20" s="230"/>
      <c r="D20" s="230"/>
      <c r="E20" s="237"/>
    </row>
    <row r="21" spans="2:12" x14ac:dyDescent="0.3">
      <c r="B21" s="35"/>
      <c r="C21" s="231"/>
      <c r="D21" s="231"/>
      <c r="E21" s="238"/>
    </row>
    <row r="22" spans="2:12" ht="15" thickBot="1" x14ac:dyDescent="0.35">
      <c r="B22" s="239" t="s">
        <v>1</v>
      </c>
      <c r="C22" s="240">
        <f>SUM(C12:C20)</f>
        <v>10789277</v>
      </c>
      <c r="D22" s="240">
        <f>SUM(D12:D20)</f>
        <v>10680161</v>
      </c>
      <c r="E22" s="241">
        <f>SUM(E12:E20)</f>
        <v>10624240</v>
      </c>
    </row>
    <row r="23" spans="2:12" ht="15" thickBot="1" x14ac:dyDescent="0.35">
      <c r="H23" s="194"/>
    </row>
    <row r="24" spans="2:12" ht="15" thickBot="1" x14ac:dyDescent="0.35">
      <c r="B24" s="60" t="s">
        <v>74</v>
      </c>
      <c r="C24" s="69">
        <v>950000</v>
      </c>
      <c r="D24" s="61">
        <v>46054</v>
      </c>
      <c r="E24" s="62" t="s">
        <v>6</v>
      </c>
      <c r="F24" s="63"/>
      <c r="H24" s="194"/>
    </row>
    <row r="26" spans="2:12" ht="43.2" x14ac:dyDescent="0.3">
      <c r="H26" s="243" t="s">
        <v>133</v>
      </c>
      <c r="I26" s="244"/>
      <c r="J26" s="245" t="s">
        <v>130</v>
      </c>
      <c r="K26" s="245" t="s">
        <v>131</v>
      </c>
      <c r="L26" s="245" t="s">
        <v>132</v>
      </c>
    </row>
    <row r="27" spans="2:12" x14ac:dyDescent="0.3">
      <c r="H27" s="197">
        <v>2025</v>
      </c>
      <c r="I27" s="198" t="s">
        <v>126</v>
      </c>
      <c r="J27" s="195">
        <v>2496572</v>
      </c>
      <c r="K27" s="195">
        <v>123546</v>
      </c>
      <c r="L27" s="195">
        <f>J27-K27</f>
        <v>2373026</v>
      </c>
    </row>
    <row r="28" spans="2:12" x14ac:dyDescent="0.3">
      <c r="H28" s="197">
        <v>2025</v>
      </c>
      <c r="I28" s="198" t="s">
        <v>127</v>
      </c>
      <c r="J28" s="195">
        <v>2376857</v>
      </c>
      <c r="K28" s="195">
        <v>150993</v>
      </c>
      <c r="L28" s="195">
        <f t="shared" ref="L28:L31" si="1">J28-K28</f>
        <v>2225864</v>
      </c>
    </row>
    <row r="29" spans="2:12" s="1" customFormat="1" x14ac:dyDescent="0.3">
      <c r="H29" s="197">
        <v>2025</v>
      </c>
      <c r="I29" s="198" t="s">
        <v>128</v>
      </c>
      <c r="J29" s="195">
        <v>3006262</v>
      </c>
      <c r="K29" s="195">
        <v>238190</v>
      </c>
      <c r="L29" s="195">
        <f t="shared" si="1"/>
        <v>2768072</v>
      </c>
    </row>
    <row r="30" spans="2:12" x14ac:dyDescent="0.3">
      <c r="H30" s="197">
        <v>2026</v>
      </c>
      <c r="I30" s="197" t="s">
        <v>129</v>
      </c>
      <c r="J30" s="195">
        <v>3712848</v>
      </c>
      <c r="K30" s="195">
        <v>290533</v>
      </c>
      <c r="L30" s="195">
        <f t="shared" si="1"/>
        <v>3422315</v>
      </c>
    </row>
    <row r="31" spans="2:12" x14ac:dyDescent="0.3">
      <c r="H31" s="197"/>
      <c r="I31" s="199" t="s">
        <v>1</v>
      </c>
      <c r="J31" s="196">
        <f>SUM(J27:J30)</f>
        <v>11592539</v>
      </c>
      <c r="K31" s="196">
        <f>SUM(K27:K30)</f>
        <v>803262</v>
      </c>
      <c r="L31" s="196">
        <f t="shared" si="1"/>
        <v>10789277</v>
      </c>
    </row>
    <row r="32" spans="2:12" x14ac:dyDescent="0.3">
      <c r="H32" s="2" t="s">
        <v>135</v>
      </c>
    </row>
  </sheetData>
  <mergeCells count="4">
    <mergeCell ref="D9:E9"/>
    <mergeCell ref="B2:D2"/>
    <mergeCell ref="H26:I26"/>
    <mergeCell ref="B7:E7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1C6B-4230-497D-B020-63A021177807}">
  <sheetPr codeName="Sheet2">
    <tabColor rgb="FF0070C0"/>
  </sheetPr>
  <dimension ref="B1:M18"/>
  <sheetViews>
    <sheetView zoomScale="115" zoomScaleNormal="115" workbookViewId="0">
      <selection activeCell="H7" sqref="H7"/>
    </sheetView>
  </sheetViews>
  <sheetFormatPr defaultColWidth="8.88671875" defaultRowHeight="14.4" x14ac:dyDescent="0.3"/>
  <cols>
    <col min="1" max="1" width="8.88671875" style="2"/>
    <col min="2" max="2" width="30.44140625" style="2" customWidth="1"/>
    <col min="3" max="3" width="11.44140625" style="2" bestFit="1" customWidth="1"/>
    <col min="4" max="4" width="10.88671875" style="2" customWidth="1"/>
    <col min="5" max="5" width="12.88671875" style="2" customWidth="1"/>
    <col min="6" max="6" width="13.21875" style="2" bestFit="1" customWidth="1"/>
    <col min="7" max="7" width="10.109375" style="2" customWidth="1"/>
    <col min="8" max="8" width="13.5546875" style="2" customWidth="1"/>
    <col min="9" max="9" width="13.6640625" style="2" customWidth="1"/>
    <col min="10" max="10" width="5" style="2" customWidth="1"/>
    <col min="11" max="11" width="11.88671875" style="2" bestFit="1" customWidth="1"/>
    <col min="12" max="12" width="11.88671875" style="2" customWidth="1"/>
    <col min="13" max="13" width="14.5546875" style="2" customWidth="1"/>
    <col min="14" max="16384" width="8.88671875" style="2"/>
  </cols>
  <sheetData>
    <row r="1" spans="2:13" ht="15" thickBot="1" x14ac:dyDescent="0.35"/>
    <row r="2" spans="2:13" ht="15" thickBot="1" x14ac:dyDescent="0.35">
      <c r="B2" s="45"/>
      <c r="C2" s="207" t="s">
        <v>0</v>
      </c>
      <c r="D2" s="208"/>
      <c r="E2" s="208"/>
      <c r="F2" s="208"/>
      <c r="G2" s="208"/>
      <c r="H2" s="208"/>
      <c r="I2" s="209"/>
      <c r="K2" s="210" t="s">
        <v>3</v>
      </c>
      <c r="L2" s="211"/>
      <c r="M2" s="212"/>
    </row>
    <row r="3" spans="2:13" ht="15" thickBot="1" x14ac:dyDescent="0.35">
      <c r="B3" s="177"/>
      <c r="C3" s="210" t="str">
        <f>Input!C3</f>
        <v>2025/26</v>
      </c>
      <c r="D3" s="211"/>
      <c r="E3" s="212"/>
      <c r="F3" s="210" t="str">
        <f>Input!D3</f>
        <v>2026/27</v>
      </c>
      <c r="G3" s="211"/>
      <c r="H3" s="212"/>
      <c r="I3" s="87" t="s">
        <v>1</v>
      </c>
      <c r="K3" s="93" t="str">
        <f>C3</f>
        <v>2025/26</v>
      </c>
      <c r="L3" s="94" t="str">
        <f>F3</f>
        <v>2026/27</v>
      </c>
      <c r="M3" s="95" t="s">
        <v>1</v>
      </c>
    </row>
    <row r="4" spans="2:13" x14ac:dyDescent="0.3">
      <c r="B4" s="43" t="s">
        <v>12</v>
      </c>
      <c r="C4" s="213">
        <f>Input!C4</f>
        <v>5306824</v>
      </c>
      <c r="D4" s="214"/>
      <c r="E4" s="215"/>
      <c r="F4" s="213">
        <f>Input!D4</f>
        <v>14850121</v>
      </c>
      <c r="G4" s="214"/>
      <c r="H4" s="215"/>
      <c r="I4" s="187">
        <f>C4+F4</f>
        <v>20156945</v>
      </c>
      <c r="K4" s="46">
        <f>C4/12</f>
        <v>442235.33333333331</v>
      </c>
      <c r="L4" s="34">
        <f>F4/12</f>
        <v>1237510.0833333333</v>
      </c>
      <c r="M4" s="88">
        <f>K4+L4</f>
        <v>1679745.4166666665</v>
      </c>
    </row>
    <row r="5" spans="2:13" x14ac:dyDescent="0.3">
      <c r="B5" s="148" t="s">
        <v>27</v>
      </c>
      <c r="C5" s="145" t="s">
        <v>35</v>
      </c>
      <c r="D5" s="146" t="s">
        <v>4</v>
      </c>
      <c r="E5" s="147" t="s">
        <v>0</v>
      </c>
      <c r="F5" s="145" t="s">
        <v>35</v>
      </c>
      <c r="G5" s="146" t="s">
        <v>4</v>
      </c>
      <c r="H5" s="147" t="s">
        <v>0</v>
      </c>
      <c r="I5" s="180" t="str">
        <f>H5</f>
        <v>Annual Fee</v>
      </c>
      <c r="K5" s="47"/>
      <c r="L5" s="38"/>
      <c r="M5" s="89"/>
    </row>
    <row r="6" spans="2:13" x14ac:dyDescent="0.3">
      <c r="B6" s="43" t="str">
        <f>Input!B12</f>
        <v>NSPI</v>
      </c>
      <c r="C6" s="149">
        <f>Input!C12</f>
        <v>10634708.041999999</v>
      </c>
      <c r="D6" s="178">
        <f>C6/$C$16</f>
        <v>0.985673835420112</v>
      </c>
      <c r="E6" s="18">
        <f t="shared" ref="E6:E14" si="0">$D6*C$4</f>
        <v>5230797.5659795003</v>
      </c>
      <c r="F6" s="149">
        <f>Input!D12</f>
        <v>10525592.041999999</v>
      </c>
      <c r="G6" s="178">
        <f>F6/$F$16</f>
        <v>0.98552746929564072</v>
      </c>
      <c r="H6" s="18">
        <f t="shared" ref="H6:H14" si="1">$G6*F$4</f>
        <v>14635202.167864049</v>
      </c>
      <c r="I6" s="18">
        <f>E6+H6</f>
        <v>19865999.73384355</v>
      </c>
      <c r="K6" s="48">
        <f t="shared" ref="K6:K14" si="2">E6/12</f>
        <v>435899.79716495838</v>
      </c>
      <c r="L6" s="40">
        <f t="shared" ref="L6:L14" si="3">H6/12</f>
        <v>1219600.1806553374</v>
      </c>
      <c r="M6" s="90">
        <f>K6+L6</f>
        <v>1655499.9778202958</v>
      </c>
    </row>
    <row r="7" spans="2:13" x14ac:dyDescent="0.3">
      <c r="B7" s="43" t="str">
        <f>Input!B13</f>
        <v>Berwick Electric Commission</v>
      </c>
      <c r="C7" s="149">
        <f>Input!C13</f>
        <v>39918.5</v>
      </c>
      <c r="D7" s="178">
        <f t="shared" ref="D7:D10" si="4">C7/$C$16</f>
        <v>3.6998308598435278E-3</v>
      </c>
      <c r="E7" s="18">
        <f t="shared" si="0"/>
        <v>19634.351202958271</v>
      </c>
      <c r="F7" s="149">
        <f>Input!D13</f>
        <v>39918.5</v>
      </c>
      <c r="G7" s="178">
        <f t="shared" ref="G7:G14" si="5">F7/$F$16</f>
        <v>3.7376309214814272E-3</v>
      </c>
      <c r="H7" s="18">
        <f t="shared" si="1"/>
        <v>55504.271437340693</v>
      </c>
      <c r="I7" s="18">
        <f t="shared" ref="I7:I14" si="6">E7+H7</f>
        <v>75138.622640298971</v>
      </c>
      <c r="K7" s="48">
        <f t="shared" si="2"/>
        <v>1636.1959335798558</v>
      </c>
      <c r="L7" s="40">
        <f t="shared" si="3"/>
        <v>4625.3559531117244</v>
      </c>
      <c r="M7" s="90">
        <f t="shared" ref="M7:M14" si="7">K7+L7</f>
        <v>6261.55188669158</v>
      </c>
    </row>
    <row r="8" spans="2:13" x14ac:dyDescent="0.3">
      <c r="B8" s="43" t="str">
        <f>Input!B14</f>
        <v>Riverport Electric Light Commission</v>
      </c>
      <c r="C8" s="149">
        <f>Input!C14</f>
        <v>9525.5939999999991</v>
      </c>
      <c r="D8" s="178">
        <f t="shared" si="4"/>
        <v>8.8287602589126211E-4</v>
      </c>
      <c r="E8" s="18">
        <f t="shared" si="0"/>
        <v>4685.2676832243715</v>
      </c>
      <c r="F8" s="149">
        <f>Input!D14</f>
        <v>9525.5939999999991</v>
      </c>
      <c r="G8" s="178">
        <f t="shared" si="5"/>
        <v>8.9189610531152099E-4</v>
      </c>
      <c r="H8" s="18">
        <f t="shared" si="1"/>
        <v>13244.76508330483</v>
      </c>
      <c r="I8" s="18">
        <f t="shared" si="6"/>
        <v>17930.032766529202</v>
      </c>
      <c r="K8" s="48">
        <f t="shared" si="2"/>
        <v>390.43897360203096</v>
      </c>
      <c r="L8" s="40">
        <f t="shared" si="3"/>
        <v>1103.7304236087359</v>
      </c>
      <c r="M8" s="90">
        <f t="shared" si="7"/>
        <v>1494.1693972107669</v>
      </c>
    </row>
    <row r="9" spans="2:13" x14ac:dyDescent="0.3">
      <c r="B9" s="43" t="str">
        <f>Input!B15</f>
        <v>Town of Mahone Bay</v>
      </c>
      <c r="C9" s="149">
        <f>Input!C15</f>
        <v>14625.321</v>
      </c>
      <c r="D9" s="178">
        <f t="shared" si="4"/>
        <v>1.3555422666412216E-3</v>
      </c>
      <c r="E9" s="18">
        <f t="shared" si="0"/>
        <v>7193.6242336260348</v>
      </c>
      <c r="F9" s="149">
        <f>Input!D15</f>
        <v>14625.321</v>
      </c>
      <c r="G9" s="178">
        <f t="shared" si="5"/>
        <v>1.3693914352040199E-3</v>
      </c>
      <c r="H9" s="18">
        <f t="shared" si="1"/>
        <v>20335.628509143356</v>
      </c>
      <c r="I9" s="18">
        <f t="shared" si="6"/>
        <v>27529.252742769393</v>
      </c>
      <c r="K9" s="48">
        <f t="shared" si="2"/>
        <v>599.46868613550294</v>
      </c>
      <c r="L9" s="40">
        <f t="shared" si="3"/>
        <v>1694.6357090952797</v>
      </c>
      <c r="M9" s="90">
        <f t="shared" si="7"/>
        <v>2294.1043952307828</v>
      </c>
    </row>
    <row r="10" spans="2:13" x14ac:dyDescent="0.3">
      <c r="B10" s="43" t="str">
        <f>Input!B16</f>
        <v>Town of Antigonish</v>
      </c>
      <c r="C10" s="149">
        <f>Input!C16</f>
        <v>90499.543000000005</v>
      </c>
      <c r="D10" s="178">
        <f t="shared" si="4"/>
        <v>8.3879154275119643E-3</v>
      </c>
      <c r="E10" s="18">
        <f t="shared" si="0"/>
        <v>44513.190900690752</v>
      </c>
      <c r="F10" s="149">
        <f>Input!D16</f>
        <v>90499.543000000005</v>
      </c>
      <c r="G10" s="178">
        <f t="shared" si="5"/>
        <v>8.4736122423622641E-3</v>
      </c>
      <c r="H10" s="18">
        <f t="shared" si="1"/>
        <v>125834.16710616095</v>
      </c>
      <c r="I10" s="18">
        <f t="shared" si="6"/>
        <v>170347.35800685169</v>
      </c>
      <c r="K10" s="48">
        <f t="shared" si="2"/>
        <v>3709.4325750575626</v>
      </c>
      <c r="L10" s="40">
        <f t="shared" si="3"/>
        <v>10486.180592180079</v>
      </c>
      <c r="M10" s="90">
        <f t="shared" si="7"/>
        <v>14195.613167237641</v>
      </c>
    </row>
    <row r="11" spans="2:13" hidden="1" x14ac:dyDescent="0.3">
      <c r="B11" s="43" t="str">
        <f>Input!B17</f>
        <v>Other</v>
      </c>
      <c r="C11" s="149">
        <f>Input!C17</f>
        <v>0</v>
      </c>
      <c r="D11" s="178">
        <f t="shared" ref="D11:D14" si="8">C11/$C$16</f>
        <v>0</v>
      </c>
      <c r="E11" s="18">
        <f t="shared" si="0"/>
        <v>0</v>
      </c>
      <c r="F11" s="149">
        <f>Input!D17</f>
        <v>0</v>
      </c>
      <c r="G11" s="178">
        <f t="shared" si="5"/>
        <v>0</v>
      </c>
      <c r="H11" s="18">
        <f t="shared" si="1"/>
        <v>0</v>
      </c>
      <c r="I11" s="18">
        <f t="shared" si="6"/>
        <v>0</v>
      </c>
      <c r="K11" s="48">
        <f t="shared" si="2"/>
        <v>0</v>
      </c>
      <c r="L11" s="40">
        <f t="shared" si="3"/>
        <v>0</v>
      </c>
      <c r="M11" s="90">
        <f t="shared" si="7"/>
        <v>0</v>
      </c>
    </row>
    <row r="12" spans="2:13" hidden="1" x14ac:dyDescent="0.3">
      <c r="B12" s="43" t="str">
        <f>Input!B18</f>
        <v>Other</v>
      </c>
      <c r="C12" s="149">
        <f>Input!C18</f>
        <v>0</v>
      </c>
      <c r="D12" s="178">
        <f t="shared" si="8"/>
        <v>0</v>
      </c>
      <c r="E12" s="18">
        <f t="shared" si="0"/>
        <v>0</v>
      </c>
      <c r="F12" s="149">
        <f>Input!D18</f>
        <v>0</v>
      </c>
      <c r="G12" s="178">
        <f t="shared" si="5"/>
        <v>0</v>
      </c>
      <c r="H12" s="18">
        <f t="shared" si="1"/>
        <v>0</v>
      </c>
      <c r="I12" s="18">
        <f t="shared" si="6"/>
        <v>0</v>
      </c>
      <c r="K12" s="48">
        <f t="shared" si="2"/>
        <v>0</v>
      </c>
      <c r="L12" s="40">
        <f t="shared" si="3"/>
        <v>0</v>
      </c>
      <c r="M12" s="90">
        <f t="shared" si="7"/>
        <v>0</v>
      </c>
    </row>
    <row r="13" spans="2:13" hidden="1" x14ac:dyDescent="0.3">
      <c r="B13" s="43" t="str">
        <f>Input!B19</f>
        <v>Other</v>
      </c>
      <c r="C13" s="149">
        <f>Input!C19</f>
        <v>0</v>
      </c>
      <c r="D13" s="178">
        <f t="shared" si="8"/>
        <v>0</v>
      </c>
      <c r="E13" s="18">
        <f t="shared" si="0"/>
        <v>0</v>
      </c>
      <c r="F13" s="149">
        <f>Input!D19</f>
        <v>0</v>
      </c>
      <c r="G13" s="178">
        <f t="shared" si="5"/>
        <v>0</v>
      </c>
      <c r="H13" s="18">
        <f t="shared" si="1"/>
        <v>0</v>
      </c>
      <c r="I13" s="18">
        <f t="shared" si="6"/>
        <v>0</v>
      </c>
      <c r="K13" s="48">
        <f t="shared" si="2"/>
        <v>0</v>
      </c>
      <c r="L13" s="40">
        <f t="shared" si="3"/>
        <v>0</v>
      </c>
      <c r="M13" s="90">
        <f t="shared" si="7"/>
        <v>0</v>
      </c>
    </row>
    <row r="14" spans="2:13" hidden="1" x14ac:dyDescent="0.3">
      <c r="B14" s="43" t="str">
        <f>Input!B20</f>
        <v>Other</v>
      </c>
      <c r="C14" s="149">
        <f>Input!F20</f>
        <v>0</v>
      </c>
      <c r="D14" s="178">
        <f t="shared" si="8"/>
        <v>0</v>
      </c>
      <c r="E14" s="73">
        <f t="shared" si="0"/>
        <v>0</v>
      </c>
      <c r="F14" s="149">
        <f>Input!D20</f>
        <v>0</v>
      </c>
      <c r="G14" s="150">
        <f t="shared" si="5"/>
        <v>0</v>
      </c>
      <c r="H14" s="73">
        <f t="shared" si="1"/>
        <v>0</v>
      </c>
      <c r="I14" s="73">
        <f t="shared" si="6"/>
        <v>0</v>
      </c>
      <c r="K14" s="49">
        <f t="shared" si="2"/>
        <v>0</v>
      </c>
      <c r="L14" s="42">
        <f t="shared" si="3"/>
        <v>0</v>
      </c>
      <c r="M14" s="91">
        <f t="shared" si="7"/>
        <v>0</v>
      </c>
    </row>
    <row r="15" spans="2:13" x14ac:dyDescent="0.3">
      <c r="B15" s="43"/>
      <c r="C15" s="149"/>
      <c r="D15" s="178"/>
      <c r="E15" s="18"/>
      <c r="F15" s="149"/>
      <c r="G15" s="179"/>
      <c r="H15" s="18"/>
      <c r="I15" s="18"/>
      <c r="K15" s="48"/>
      <c r="L15" s="29"/>
      <c r="M15" s="90"/>
    </row>
    <row r="16" spans="2:13" s="19" customFormat="1" ht="15" thickBot="1" x14ac:dyDescent="0.35">
      <c r="B16" s="44" t="s">
        <v>1</v>
      </c>
      <c r="C16" s="151">
        <f>SUM(C6:C14)</f>
        <v>10789277</v>
      </c>
      <c r="D16" s="152">
        <f>SUM(D6:D12)</f>
        <v>0.99999999999999989</v>
      </c>
      <c r="E16" s="27">
        <f>SUM(E6:E14)</f>
        <v>5306824</v>
      </c>
      <c r="F16" s="153">
        <f>SUM(F6:F14)</f>
        <v>10680161</v>
      </c>
      <c r="G16" s="152">
        <f>SUM(G6:G12)</f>
        <v>0.99999999999999989</v>
      </c>
      <c r="H16" s="27">
        <f>SUM(H6:H14)</f>
        <v>14850121</v>
      </c>
      <c r="I16" s="27">
        <f>SUM(I6:I14)</f>
        <v>20156945</v>
      </c>
      <c r="K16" s="50">
        <f>SUM(K6:K14)</f>
        <v>442235.33333333331</v>
      </c>
      <c r="L16" s="36">
        <f>SUM(L6:L14)</f>
        <v>1237510.0833333333</v>
      </c>
      <c r="M16" s="92">
        <f>SUM(M6:M14)</f>
        <v>1679745.4166666665</v>
      </c>
    </row>
    <row r="17" spans="3:6" x14ac:dyDescent="0.3">
      <c r="C17" s="77"/>
      <c r="D17" s="21"/>
      <c r="E17" s="21"/>
      <c r="F17" s="77"/>
    </row>
    <row r="18" spans="3:6" x14ac:dyDescent="0.3">
      <c r="F18" s="33"/>
    </row>
  </sheetData>
  <mergeCells count="6">
    <mergeCell ref="C2:I2"/>
    <mergeCell ref="K2:M2"/>
    <mergeCell ref="C3:E3"/>
    <mergeCell ref="F3:H3"/>
    <mergeCell ref="C4:E4"/>
    <mergeCell ref="F4:H4"/>
  </mergeCells>
  <pageMargins left="0.7" right="0.7" top="0.75" bottom="0.75" header="0.3" footer="0.3"/>
  <ignoredErrors>
    <ignoredError sqref="D16 G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9A7E-C16D-486A-80EC-EF94DFBD2D2E}">
  <sheetPr codeName="Sheet3">
    <tabColor theme="7" tint="0.79998168889431442"/>
  </sheetPr>
  <dimension ref="A1:T27"/>
  <sheetViews>
    <sheetView zoomScaleNormal="100" workbookViewId="0">
      <selection activeCell="H32" sqref="H32"/>
    </sheetView>
  </sheetViews>
  <sheetFormatPr defaultColWidth="8.88671875" defaultRowHeight="14.4" x14ac:dyDescent="0.3"/>
  <cols>
    <col min="1" max="1" width="17.44140625" style="2" customWidth="1"/>
    <col min="2" max="2" width="31" style="2" bestFit="1" customWidth="1"/>
    <col min="3" max="3" width="13.33203125" style="2" bestFit="1" customWidth="1"/>
    <col min="4" max="4" width="12.21875" style="2" bestFit="1" customWidth="1"/>
    <col min="5" max="5" width="15" style="2" bestFit="1" customWidth="1"/>
    <col min="6" max="6" width="13.44140625" style="2" customWidth="1"/>
    <col min="7" max="7" width="12.44140625" style="2" bestFit="1" customWidth="1"/>
    <col min="8" max="8" width="19" style="2" customWidth="1"/>
    <col min="9" max="9" width="13.88671875" style="2" customWidth="1"/>
    <col min="10" max="10" width="11.44140625" style="2" customWidth="1"/>
    <col min="11" max="11" width="12.6640625" style="2" customWidth="1"/>
    <col min="12" max="12" width="4.88671875" style="2" customWidth="1"/>
    <col min="13" max="13" width="16.33203125" style="2" customWidth="1"/>
    <col min="14" max="14" width="11.109375" style="2" customWidth="1"/>
    <col min="15" max="15" width="11.88671875" style="2" bestFit="1" customWidth="1"/>
    <col min="16" max="16" width="14.44140625" style="2" bestFit="1" customWidth="1"/>
    <col min="17" max="17" width="13" style="2" customWidth="1"/>
    <col min="18" max="18" width="13.5546875" style="2" bestFit="1" customWidth="1"/>
    <col min="19" max="19" width="12.44140625" style="2" bestFit="1" customWidth="1"/>
    <col min="20" max="20" width="12.44140625" style="2" customWidth="1"/>
    <col min="21" max="21" width="11" style="2" customWidth="1"/>
    <col min="22" max="22" width="12.6640625" style="2" customWidth="1"/>
    <col min="23" max="23" width="12.88671875" style="2" customWidth="1"/>
    <col min="24" max="24" width="13.44140625" style="2" customWidth="1"/>
    <col min="25" max="16384" width="8.88671875" style="2"/>
  </cols>
  <sheetData>
    <row r="1" spans="1:20" ht="15" thickBot="1" x14ac:dyDescent="0.35"/>
    <row r="2" spans="1:20" s="78" customFormat="1" ht="15" thickBot="1" x14ac:dyDescent="0.35">
      <c r="C2" s="201" t="s">
        <v>31</v>
      </c>
      <c r="D2" s="202"/>
      <c r="E2" s="202"/>
      <c r="F2" s="202"/>
      <c r="G2" s="204" t="s">
        <v>34</v>
      </c>
      <c r="H2" s="205"/>
      <c r="I2" s="206"/>
      <c r="J2" s="201" t="s">
        <v>45</v>
      </c>
      <c r="K2" s="203"/>
      <c r="L2" s="2"/>
      <c r="M2" s="201" t="s">
        <v>47</v>
      </c>
      <c r="N2" s="202"/>
      <c r="O2" s="202"/>
      <c r="P2" s="203"/>
    </row>
    <row r="3" spans="1:20" s="1" customFormat="1" ht="58.8" customHeight="1" x14ac:dyDescent="0.3">
      <c r="B3" s="12" t="s">
        <v>27</v>
      </c>
      <c r="C3" s="154" t="s">
        <v>69</v>
      </c>
      <c r="D3" s="15" t="s">
        <v>32</v>
      </c>
      <c r="E3" s="155" t="s">
        <v>70</v>
      </c>
      <c r="F3" s="15" t="s">
        <v>33</v>
      </c>
      <c r="G3" s="12" t="s">
        <v>37</v>
      </c>
      <c r="H3" s="15" t="s">
        <v>40</v>
      </c>
      <c r="I3" s="16" t="s">
        <v>42</v>
      </c>
      <c r="J3" s="12" t="s">
        <v>38</v>
      </c>
      <c r="K3" s="16" t="s">
        <v>46</v>
      </c>
      <c r="L3" s="2"/>
      <c r="M3" s="12" t="s">
        <v>51</v>
      </c>
      <c r="N3" s="15" t="s">
        <v>48</v>
      </c>
      <c r="O3" s="15" t="s">
        <v>49</v>
      </c>
      <c r="P3" s="16" t="s">
        <v>50</v>
      </c>
      <c r="R3" s="21" t="s">
        <v>44</v>
      </c>
    </row>
    <row r="4" spans="1:20" x14ac:dyDescent="0.3">
      <c r="B4" s="23" t="str">
        <f>Input!B12</f>
        <v>NSPI</v>
      </c>
      <c r="C4" s="138">
        <f>'Initial Fee Calculation'!D6</f>
        <v>0.985673835420112</v>
      </c>
      <c r="D4" s="5">
        <f>'Initial Fee Calculation'!E6</f>
        <v>5230797.5659795003</v>
      </c>
      <c r="E4" s="156">
        <f>'Initial Fee Calculation'!G6</f>
        <v>0.98552746929564072</v>
      </c>
      <c r="F4" s="4">
        <f>'Initial Fee Calculation'!H6</f>
        <v>14635202.167864049</v>
      </c>
      <c r="G4" s="17">
        <f t="shared" ref="G4:G12" si="0">D4+F4</f>
        <v>19865999.73384355</v>
      </c>
      <c r="H4" s="4">
        <v>9500000</v>
      </c>
      <c r="I4" s="18">
        <f t="shared" ref="I4:I12" si="1">G4-H4</f>
        <v>10365999.73384355</v>
      </c>
      <c r="J4" s="35">
        <f>J13</f>
        <v>4</v>
      </c>
      <c r="K4" s="18">
        <f t="shared" ref="K4:K12" si="2">I4/J4</f>
        <v>2591499.9334608875</v>
      </c>
      <c r="M4" s="182">
        <f t="shared" ref="M4:M12" si="3">(K4/$K$13)</f>
        <v>0.97269899899488566</v>
      </c>
      <c r="N4" s="5">
        <f t="shared" ref="N4:N12" si="4">$N$13*M4</f>
        <v>0</v>
      </c>
      <c r="O4" s="4">
        <f t="shared" ref="O4:O13" si="5">N4/J4</f>
        <v>0</v>
      </c>
      <c r="P4" s="18">
        <f t="shared" ref="P4:P12" si="6">O4+K4</f>
        <v>2591499.9334608875</v>
      </c>
      <c r="R4" s="100">
        <v>2.3199999999999998E-2</v>
      </c>
    </row>
    <row r="5" spans="1:20" x14ac:dyDescent="0.3">
      <c r="A5" s="2" t="s">
        <v>121</v>
      </c>
      <c r="B5" s="23" t="str">
        <f>Input!B13</f>
        <v>Berwick Electric Commission</v>
      </c>
      <c r="C5" s="138">
        <f>'Initial Fee Calculation'!D7</f>
        <v>3.6998308598435278E-3</v>
      </c>
      <c r="D5" s="5">
        <f>'Initial Fee Calculation'!E7</f>
        <v>19634.351202958271</v>
      </c>
      <c r="E5" s="156">
        <f>'Initial Fee Calculation'!G7</f>
        <v>3.7376309214814272E-3</v>
      </c>
      <c r="F5" s="4">
        <f>'Initial Fee Calculation'!H7</f>
        <v>55504.271437340693</v>
      </c>
      <c r="G5" s="17">
        <f t="shared" si="0"/>
        <v>75138.622640298971</v>
      </c>
      <c r="H5" s="4"/>
      <c r="I5" s="18">
        <f t="shared" si="1"/>
        <v>75138.622640298971</v>
      </c>
      <c r="J5" s="35">
        <f>J4</f>
        <v>4</v>
      </c>
      <c r="K5" s="18">
        <f t="shared" si="2"/>
        <v>18784.655660074743</v>
      </c>
      <c r="M5" s="182">
        <f t="shared" si="3"/>
        <v>7.0506718989634442E-3</v>
      </c>
      <c r="N5" s="5">
        <f t="shared" si="4"/>
        <v>0</v>
      </c>
      <c r="O5" s="4">
        <f t="shared" si="5"/>
        <v>0</v>
      </c>
      <c r="P5" s="18">
        <f t="shared" si="6"/>
        <v>18784.655660074743</v>
      </c>
    </row>
    <row r="6" spans="1:20" x14ac:dyDescent="0.3">
      <c r="A6" s="2" t="s">
        <v>122</v>
      </c>
      <c r="B6" s="23" t="str">
        <f>Input!B14</f>
        <v>Riverport Electric Light Commission</v>
      </c>
      <c r="C6" s="138">
        <f>'Initial Fee Calculation'!D8</f>
        <v>8.8287602589126211E-4</v>
      </c>
      <c r="D6" s="5">
        <f>'Initial Fee Calculation'!E8</f>
        <v>4685.2676832243715</v>
      </c>
      <c r="E6" s="156">
        <f>'Initial Fee Calculation'!G8</f>
        <v>8.9189610531152099E-4</v>
      </c>
      <c r="F6" s="4">
        <f>'Initial Fee Calculation'!H8</f>
        <v>13244.76508330483</v>
      </c>
      <c r="G6" s="17">
        <f t="shared" si="0"/>
        <v>17930.032766529202</v>
      </c>
      <c r="H6" s="4"/>
      <c r="I6" s="18">
        <f t="shared" si="1"/>
        <v>17930.032766529202</v>
      </c>
      <c r="J6" s="35">
        <f>J5</f>
        <v>4</v>
      </c>
      <c r="K6" s="18">
        <f t="shared" si="2"/>
        <v>4482.5081916323006</v>
      </c>
      <c r="M6" s="182">
        <f t="shared" si="3"/>
        <v>1.6824739891713061E-3</v>
      </c>
      <c r="N6" s="5">
        <f t="shared" si="4"/>
        <v>0</v>
      </c>
      <c r="O6" s="4">
        <f t="shared" si="5"/>
        <v>0</v>
      </c>
      <c r="P6" s="18">
        <f t="shared" si="6"/>
        <v>4482.5081916323006</v>
      </c>
      <c r="R6" s="129"/>
    </row>
    <row r="7" spans="1:20" x14ac:dyDescent="0.3">
      <c r="B7" s="23" t="str">
        <f>Input!B15</f>
        <v>Town of Mahone Bay</v>
      </c>
      <c r="C7" s="138">
        <f>'Initial Fee Calculation'!D9</f>
        <v>1.3555422666412216E-3</v>
      </c>
      <c r="D7" s="5">
        <f>'Initial Fee Calculation'!E9</f>
        <v>7193.6242336260348</v>
      </c>
      <c r="E7" s="156">
        <f>'Initial Fee Calculation'!G9</f>
        <v>1.3693914352040199E-3</v>
      </c>
      <c r="F7" s="4">
        <f>'Initial Fee Calculation'!H9</f>
        <v>20335.628509143356</v>
      </c>
      <c r="G7" s="17">
        <f t="shared" si="0"/>
        <v>27529.252742769393</v>
      </c>
      <c r="H7" s="4"/>
      <c r="I7" s="18">
        <f t="shared" si="1"/>
        <v>27529.252742769393</v>
      </c>
      <c r="J7" s="35">
        <f t="shared" ref="J7:J12" si="7">J6</f>
        <v>4</v>
      </c>
      <c r="K7" s="18">
        <f t="shared" si="2"/>
        <v>6882.3131856923483</v>
      </c>
      <c r="M7" s="182">
        <f t="shared" si="3"/>
        <v>2.5832218091366146E-3</v>
      </c>
      <c r="N7" s="5">
        <f t="shared" si="4"/>
        <v>0</v>
      </c>
      <c r="O7" s="4">
        <f t="shared" si="5"/>
        <v>0</v>
      </c>
      <c r="P7" s="18">
        <f t="shared" si="6"/>
        <v>6882.3131856923483</v>
      </c>
    </row>
    <row r="8" spans="1:20" x14ac:dyDescent="0.3">
      <c r="B8" s="23" t="str">
        <f>Input!B16</f>
        <v>Town of Antigonish</v>
      </c>
      <c r="C8" s="138">
        <f>'Initial Fee Calculation'!D10</f>
        <v>8.3879154275119643E-3</v>
      </c>
      <c r="D8" s="5">
        <f>'Initial Fee Calculation'!E10</f>
        <v>44513.190900690752</v>
      </c>
      <c r="E8" s="156">
        <f>'Initial Fee Calculation'!G10</f>
        <v>8.4736122423622641E-3</v>
      </c>
      <c r="F8" s="4">
        <f>'Initial Fee Calculation'!H10</f>
        <v>125834.16710616095</v>
      </c>
      <c r="G8" s="17">
        <f t="shared" si="0"/>
        <v>170347.35800685169</v>
      </c>
      <c r="H8" s="4"/>
      <c r="I8" s="18">
        <f t="shared" si="1"/>
        <v>170347.35800685169</v>
      </c>
      <c r="J8" s="35">
        <f t="shared" si="7"/>
        <v>4</v>
      </c>
      <c r="K8" s="18">
        <f t="shared" si="2"/>
        <v>42586.839501712922</v>
      </c>
      <c r="M8" s="182">
        <f t="shared" si="3"/>
        <v>1.5984633307843076E-2</v>
      </c>
      <c r="N8" s="5">
        <f t="shared" si="4"/>
        <v>0</v>
      </c>
      <c r="O8" s="4">
        <f t="shared" si="5"/>
        <v>0</v>
      </c>
      <c r="P8" s="18">
        <f t="shared" si="6"/>
        <v>42586.839501712922</v>
      </c>
    </row>
    <row r="9" spans="1:20" hidden="1" x14ac:dyDescent="0.3">
      <c r="B9" s="23" t="str">
        <f>Input!B17</f>
        <v>Other</v>
      </c>
      <c r="C9" s="138">
        <f>'Initial Fee Calculation'!D11</f>
        <v>0</v>
      </c>
      <c r="D9" s="5">
        <f>'Initial Fee Calculation'!E11</f>
        <v>0</v>
      </c>
      <c r="E9" s="11"/>
      <c r="F9" s="4">
        <f>'Initial Fee Calculation'!H11</f>
        <v>0</v>
      </c>
      <c r="G9" s="17">
        <f t="shared" si="0"/>
        <v>0</v>
      </c>
      <c r="H9" s="4"/>
      <c r="I9" s="18">
        <f t="shared" si="1"/>
        <v>0</v>
      </c>
      <c r="J9" s="35">
        <f t="shared" si="7"/>
        <v>4</v>
      </c>
      <c r="K9" s="18">
        <f t="shared" si="2"/>
        <v>0</v>
      </c>
      <c r="M9" s="182">
        <f t="shared" si="3"/>
        <v>0</v>
      </c>
      <c r="N9" s="5">
        <f t="shared" si="4"/>
        <v>0</v>
      </c>
      <c r="O9" s="4">
        <f t="shared" si="5"/>
        <v>0</v>
      </c>
      <c r="P9" s="18">
        <f t="shared" si="6"/>
        <v>0</v>
      </c>
    </row>
    <row r="10" spans="1:20" hidden="1" x14ac:dyDescent="0.3">
      <c r="B10" s="23" t="str">
        <f>Input!B18</f>
        <v>Other</v>
      </c>
      <c r="C10" s="138">
        <f>'Initial Fee Calculation'!D12</f>
        <v>0</v>
      </c>
      <c r="D10" s="5">
        <f>'Initial Fee Calculation'!E12</f>
        <v>0</v>
      </c>
      <c r="E10" s="11"/>
      <c r="F10" s="4">
        <f>'Initial Fee Calculation'!H12</f>
        <v>0</v>
      </c>
      <c r="G10" s="17">
        <f t="shared" si="0"/>
        <v>0</v>
      </c>
      <c r="H10" s="4"/>
      <c r="I10" s="18">
        <f t="shared" si="1"/>
        <v>0</v>
      </c>
      <c r="J10" s="35">
        <f t="shared" si="7"/>
        <v>4</v>
      </c>
      <c r="K10" s="18">
        <f t="shared" si="2"/>
        <v>0</v>
      </c>
      <c r="M10" s="182">
        <f t="shared" si="3"/>
        <v>0</v>
      </c>
      <c r="N10" s="5">
        <f t="shared" si="4"/>
        <v>0</v>
      </c>
      <c r="O10" s="4">
        <f t="shared" si="5"/>
        <v>0</v>
      </c>
      <c r="P10" s="18">
        <f t="shared" si="6"/>
        <v>0</v>
      </c>
    </row>
    <row r="11" spans="1:20" hidden="1" x14ac:dyDescent="0.3">
      <c r="B11" s="23" t="str">
        <f>Input!B19</f>
        <v>Other</v>
      </c>
      <c r="C11" s="138">
        <f>'Initial Fee Calculation'!D13</f>
        <v>0</v>
      </c>
      <c r="D11" s="5">
        <f>'Initial Fee Calculation'!E13</f>
        <v>0</v>
      </c>
      <c r="E11" s="11"/>
      <c r="F11" s="4">
        <f>'Initial Fee Calculation'!H13</f>
        <v>0</v>
      </c>
      <c r="G11" s="17">
        <f t="shared" si="0"/>
        <v>0</v>
      </c>
      <c r="H11" s="4"/>
      <c r="I11" s="18">
        <f t="shared" si="1"/>
        <v>0</v>
      </c>
      <c r="J11" s="35">
        <f t="shared" si="7"/>
        <v>4</v>
      </c>
      <c r="K11" s="18">
        <f t="shared" si="2"/>
        <v>0</v>
      </c>
      <c r="M11" s="182">
        <f t="shared" si="3"/>
        <v>0</v>
      </c>
      <c r="N11" s="5">
        <f t="shared" si="4"/>
        <v>0</v>
      </c>
      <c r="O11" s="4">
        <f t="shared" si="5"/>
        <v>0</v>
      </c>
      <c r="P11" s="18">
        <f t="shared" si="6"/>
        <v>0</v>
      </c>
    </row>
    <row r="12" spans="1:20" hidden="1" x14ac:dyDescent="0.3">
      <c r="B12" s="23" t="str">
        <f>Input!B20</f>
        <v>Other</v>
      </c>
      <c r="C12" s="138">
        <f>'Initial Fee Calculation'!D14</f>
        <v>0</v>
      </c>
      <c r="D12" s="5">
        <f>'Initial Fee Calculation'!E14</f>
        <v>0</v>
      </c>
      <c r="E12" s="11"/>
      <c r="F12" s="4">
        <f>'Initial Fee Calculation'!H14</f>
        <v>0</v>
      </c>
      <c r="G12" s="17">
        <f t="shared" si="0"/>
        <v>0</v>
      </c>
      <c r="H12" s="4"/>
      <c r="I12" s="18">
        <f t="shared" si="1"/>
        <v>0</v>
      </c>
      <c r="J12" s="35">
        <f t="shared" si="7"/>
        <v>4</v>
      </c>
      <c r="K12" s="18">
        <f t="shared" si="2"/>
        <v>0</v>
      </c>
      <c r="M12" s="182">
        <f t="shared" si="3"/>
        <v>0</v>
      </c>
      <c r="N12" s="5">
        <f t="shared" si="4"/>
        <v>0</v>
      </c>
      <c r="O12" s="4">
        <f t="shared" si="5"/>
        <v>0</v>
      </c>
      <c r="P12" s="18">
        <f t="shared" si="6"/>
        <v>0</v>
      </c>
    </row>
    <row r="13" spans="1:20" ht="15" thickBot="1" x14ac:dyDescent="0.35">
      <c r="B13" s="65" t="s">
        <v>1</v>
      </c>
      <c r="C13" s="158">
        <f t="shared" ref="C13:I13" si="8">SUM(C4:C12)</f>
        <v>0.99999999999999989</v>
      </c>
      <c r="D13" s="25">
        <f t="shared" si="8"/>
        <v>5306824</v>
      </c>
      <c r="E13" s="139">
        <f t="shared" si="8"/>
        <v>0.99999999999999989</v>
      </c>
      <c r="F13" s="25">
        <f t="shared" si="8"/>
        <v>14850121</v>
      </c>
      <c r="G13" s="41">
        <f t="shared" si="8"/>
        <v>20156945</v>
      </c>
      <c r="H13" s="25">
        <f t="shared" si="8"/>
        <v>9500000</v>
      </c>
      <c r="I13" s="27">
        <f t="shared" si="8"/>
        <v>10656944.999999998</v>
      </c>
      <c r="J13" s="190">
        <v>4</v>
      </c>
      <c r="K13" s="27">
        <f>SUM(K4:K12)</f>
        <v>2664236.2499999995</v>
      </c>
      <c r="M13" s="181">
        <f>SUM(M4:M12)</f>
        <v>1.0000000000000002</v>
      </c>
      <c r="N13" s="25">
        <f>'Fee Recovery Calculation by MP'!AP41</f>
        <v>0</v>
      </c>
      <c r="O13" s="25">
        <f t="shared" si="5"/>
        <v>0</v>
      </c>
      <c r="P13" s="27">
        <f>SUM(P4:P12)</f>
        <v>2664236.2499999995</v>
      </c>
      <c r="Q13" s="66"/>
    </row>
    <row r="14" spans="1:20" x14ac:dyDescent="0.3">
      <c r="D14" s="5"/>
      <c r="E14" s="5"/>
      <c r="F14" s="5"/>
      <c r="H14" s="5"/>
      <c r="I14" s="79"/>
      <c r="J14" s="79"/>
      <c r="M14" s="79"/>
      <c r="N14" s="79"/>
    </row>
    <row r="15" spans="1:20" ht="15" thickBot="1" x14ac:dyDescent="0.35"/>
    <row r="16" spans="1:20" ht="15" thickBot="1" x14ac:dyDescent="0.35">
      <c r="B16" s="78"/>
      <c r="C16" s="201" t="s">
        <v>31</v>
      </c>
      <c r="D16" s="202"/>
      <c r="E16" s="202"/>
      <c r="F16" s="202"/>
      <c r="G16" s="204" t="s">
        <v>34</v>
      </c>
      <c r="H16" s="205"/>
      <c r="I16" s="206"/>
      <c r="J16" s="204" t="s">
        <v>77</v>
      </c>
      <c r="K16" s="205"/>
      <c r="L16" s="205"/>
      <c r="M16" s="206"/>
      <c r="N16" s="201" t="s">
        <v>45</v>
      </c>
      <c r="O16" s="203"/>
      <c r="Q16" s="201" t="s">
        <v>47</v>
      </c>
      <c r="R16" s="202"/>
      <c r="S16" s="202"/>
      <c r="T16" s="203"/>
    </row>
    <row r="17" spans="1:20" ht="72" customHeight="1" x14ac:dyDescent="0.3">
      <c r="B17" s="12" t="s">
        <v>27</v>
      </c>
      <c r="C17" s="154" t="s">
        <v>69</v>
      </c>
      <c r="D17" s="15" t="s">
        <v>32</v>
      </c>
      <c r="E17" s="155" t="s">
        <v>70</v>
      </c>
      <c r="F17" s="15" t="s">
        <v>33</v>
      </c>
      <c r="G17" s="12" t="s">
        <v>37</v>
      </c>
      <c r="H17" s="15" t="s">
        <v>40</v>
      </c>
      <c r="I17" s="16" t="s">
        <v>42</v>
      </c>
      <c r="J17" s="12" t="str">
        <f>C17</f>
        <v>2025/26 Allocation</v>
      </c>
      <c r="K17" s="15" t="s">
        <v>77</v>
      </c>
      <c r="L17" s="15"/>
      <c r="M17" s="16" t="s">
        <v>119</v>
      </c>
      <c r="N17" s="12" t="s">
        <v>38</v>
      </c>
      <c r="O17" s="16" t="s">
        <v>46</v>
      </c>
      <c r="Q17" s="12" t="s">
        <v>51</v>
      </c>
      <c r="R17" s="15" t="s">
        <v>48</v>
      </c>
      <c r="S17" s="15" t="s">
        <v>49</v>
      </c>
      <c r="T17" s="16" t="s">
        <v>50</v>
      </c>
    </row>
    <row r="18" spans="1:20" x14ac:dyDescent="0.3">
      <c r="B18" s="23" t="str">
        <f>Input!B12</f>
        <v>NSPI</v>
      </c>
      <c r="C18" s="138">
        <f>'Initial Fee Calculation'!D6</f>
        <v>0.985673835420112</v>
      </c>
      <c r="D18" s="5">
        <f>'Initial Fee Calculation'!E6</f>
        <v>5230797.5659795003</v>
      </c>
      <c r="E18" s="156">
        <f>'Initial Fee Calculation'!G6</f>
        <v>0.98552746929564072</v>
      </c>
      <c r="F18" s="4">
        <f>'Initial Fee Calculation'!H6</f>
        <v>14635202.167864049</v>
      </c>
      <c r="G18" s="17">
        <f t="shared" ref="G18:G26" si="9">D18+F18</f>
        <v>19865999.73384355</v>
      </c>
      <c r="H18" s="4">
        <v>9500000</v>
      </c>
      <c r="I18" s="18">
        <f t="shared" ref="I18:I26" si="10">G18-H18</f>
        <v>10365999.73384355</v>
      </c>
      <c r="J18" s="165">
        <f>C4</f>
        <v>0.985673835420112</v>
      </c>
      <c r="K18" s="188">
        <f>'Illust. True-Up (Compliance)'!K19</f>
        <v>-309344.86218208337</v>
      </c>
      <c r="L18" s="188"/>
      <c r="M18" s="18">
        <f>I18+K18</f>
        <v>10056654.871661467</v>
      </c>
      <c r="N18" s="35">
        <f>N27</f>
        <v>4</v>
      </c>
      <c r="O18" s="18">
        <f>M18/N18</f>
        <v>2514163.7179153669</v>
      </c>
      <c r="Q18" s="182">
        <f>(O18/$O$27)</f>
        <v>0.97230530328820708</v>
      </c>
      <c r="R18" s="5">
        <f>$R$27*Q18</f>
        <v>0</v>
      </c>
      <c r="S18" s="4">
        <f>R18/N18</f>
        <v>0</v>
      </c>
      <c r="T18" s="18">
        <f>S18+O18</f>
        <v>2514163.7179153669</v>
      </c>
    </row>
    <row r="19" spans="1:20" x14ac:dyDescent="0.3">
      <c r="A19" s="2" t="s">
        <v>123</v>
      </c>
      <c r="B19" s="23" t="str">
        <f>Input!B13</f>
        <v>Berwick Electric Commission</v>
      </c>
      <c r="C19" s="138">
        <f>'Initial Fee Calculation'!D7</f>
        <v>3.6998308598435278E-3</v>
      </c>
      <c r="D19" s="5">
        <f>'Initial Fee Calculation'!E7</f>
        <v>19634.351202958271</v>
      </c>
      <c r="E19" s="156">
        <f>'Initial Fee Calculation'!G7</f>
        <v>3.7376309214814272E-3</v>
      </c>
      <c r="F19" s="4">
        <f>'Initial Fee Calculation'!H7</f>
        <v>55504.271437340693</v>
      </c>
      <c r="G19" s="17">
        <f t="shared" si="9"/>
        <v>75138.622640298971</v>
      </c>
      <c r="H19" s="4"/>
      <c r="I19" s="18">
        <f t="shared" si="10"/>
        <v>75138.622640298971</v>
      </c>
      <c r="J19" s="165">
        <f t="shared" ref="J19:J22" si="11">C5</f>
        <v>3.6998308598435278E-3</v>
      </c>
      <c r="K19" s="188">
        <f>'Illust. True-Up (Compliance)'!K20</f>
        <v>-1161.1586168841527</v>
      </c>
      <c r="L19" s="188"/>
      <c r="M19" s="18">
        <f t="shared" ref="M19:M27" si="12">I19+K19</f>
        <v>73977.464023414825</v>
      </c>
      <c r="N19" s="35">
        <f t="shared" ref="N19:N26" si="13">N18</f>
        <v>4</v>
      </c>
      <c r="O19" s="18">
        <f t="shared" ref="O19:O26" si="14">M19/N19</f>
        <v>18494.366005853706</v>
      </c>
      <c r="Q19" s="182">
        <f t="shared" ref="Q19:Q22" si="15">(O19/$O$27)</f>
        <v>7.1523465318935999E-3</v>
      </c>
      <c r="R19" s="5">
        <f t="shared" ref="R19:R22" si="16">$R$27*Q19</f>
        <v>0</v>
      </c>
      <c r="S19" s="4">
        <f t="shared" ref="S19:S27" si="17">R19/N19</f>
        <v>0</v>
      </c>
      <c r="T19" s="18">
        <f t="shared" ref="T19:T26" si="18">S19+O19</f>
        <v>18494.366005853706</v>
      </c>
    </row>
    <row r="20" spans="1:20" x14ac:dyDescent="0.3">
      <c r="A20" s="2" t="s">
        <v>124</v>
      </c>
      <c r="B20" s="23" t="str">
        <f>Input!B14</f>
        <v>Riverport Electric Light Commission</v>
      </c>
      <c r="C20" s="138">
        <f>'Initial Fee Calculation'!D8</f>
        <v>8.8287602589126211E-4</v>
      </c>
      <c r="D20" s="5">
        <f>'Initial Fee Calculation'!E8</f>
        <v>4685.2676832243715</v>
      </c>
      <c r="E20" s="156">
        <f>'Initial Fee Calculation'!G8</f>
        <v>8.9189610531152099E-4</v>
      </c>
      <c r="F20" s="4">
        <f>'Initial Fee Calculation'!H8</f>
        <v>13244.76508330483</v>
      </c>
      <c r="G20" s="17">
        <f t="shared" si="9"/>
        <v>17930.032766529202</v>
      </c>
      <c r="H20" s="4"/>
      <c r="I20" s="18">
        <f t="shared" si="10"/>
        <v>17930.032766529202</v>
      </c>
      <c r="J20" s="165">
        <f t="shared" si="11"/>
        <v>8.8287602589126211E-4</v>
      </c>
      <c r="K20" s="188">
        <f>'Illust. True-Up (Compliance)'!K21</f>
        <v>-277.08269484173957</v>
      </c>
      <c r="L20" s="188"/>
      <c r="M20" s="18">
        <f t="shared" si="12"/>
        <v>17652.950071687465</v>
      </c>
      <c r="N20" s="35">
        <f t="shared" si="13"/>
        <v>4</v>
      </c>
      <c r="O20" s="18">
        <f t="shared" si="14"/>
        <v>4413.2375179218661</v>
      </c>
      <c r="Q20" s="182">
        <f t="shared" si="15"/>
        <v>1.7067362052714025E-3</v>
      </c>
      <c r="R20" s="5">
        <f t="shared" si="16"/>
        <v>0</v>
      </c>
      <c r="S20" s="4">
        <f t="shared" si="17"/>
        <v>0</v>
      </c>
      <c r="T20" s="18">
        <f t="shared" si="18"/>
        <v>4413.2375179218661</v>
      </c>
    </row>
    <row r="21" spans="1:20" x14ac:dyDescent="0.3">
      <c r="A21" s="2" t="s">
        <v>125</v>
      </c>
      <c r="B21" s="23" t="str">
        <f>Input!B15</f>
        <v>Town of Mahone Bay</v>
      </c>
      <c r="C21" s="138">
        <f>'Initial Fee Calculation'!D9</f>
        <v>1.3555422666412216E-3</v>
      </c>
      <c r="D21" s="5">
        <f>'Initial Fee Calculation'!E9</f>
        <v>7193.6242336260348</v>
      </c>
      <c r="E21" s="156">
        <f>'Initial Fee Calculation'!G9</f>
        <v>1.3693914352040199E-3</v>
      </c>
      <c r="F21" s="4">
        <f>'Initial Fee Calculation'!H9</f>
        <v>20335.628509143356</v>
      </c>
      <c r="G21" s="17">
        <f t="shared" si="9"/>
        <v>27529.252742769393</v>
      </c>
      <c r="H21" s="4"/>
      <c r="I21" s="18">
        <f t="shared" si="10"/>
        <v>27529.252742769393</v>
      </c>
      <c r="J21" s="165">
        <f t="shared" si="11"/>
        <v>1.3555422666412216E-3</v>
      </c>
      <c r="K21" s="188">
        <f>'Illust. True-Up (Compliance)'!K22</f>
        <v>-425.42474050494764</v>
      </c>
      <c r="L21" s="188"/>
      <c r="M21" s="18">
        <f t="shared" si="12"/>
        <v>27103.828002264447</v>
      </c>
      <c r="N21" s="35">
        <f t="shared" si="13"/>
        <v>4</v>
      </c>
      <c r="O21" s="18">
        <f t="shared" si="14"/>
        <v>6775.9570005661117</v>
      </c>
      <c r="Q21" s="182">
        <f t="shared" si="15"/>
        <v>2.6204733126790995E-3</v>
      </c>
      <c r="R21" s="5">
        <f t="shared" si="16"/>
        <v>0</v>
      </c>
      <c r="S21" s="4">
        <f t="shared" si="17"/>
        <v>0</v>
      </c>
      <c r="T21" s="18">
        <f t="shared" si="18"/>
        <v>6775.9570005661117</v>
      </c>
    </row>
    <row r="22" spans="1:20" x14ac:dyDescent="0.3">
      <c r="B22" s="23" t="str">
        <f>Input!B16</f>
        <v>Town of Antigonish</v>
      </c>
      <c r="C22" s="138">
        <f>'Initial Fee Calculation'!D10</f>
        <v>8.3879154275119643E-3</v>
      </c>
      <c r="D22" s="5">
        <f>'Initial Fee Calculation'!E10</f>
        <v>44513.190900690752</v>
      </c>
      <c r="E22" s="156">
        <f>'Initial Fee Calculation'!G10</f>
        <v>8.4736122423622641E-3</v>
      </c>
      <c r="F22" s="4">
        <f>'Initial Fee Calculation'!H10</f>
        <v>125834.16710616095</v>
      </c>
      <c r="G22" s="17">
        <f t="shared" si="9"/>
        <v>170347.35800685169</v>
      </c>
      <c r="H22" s="4"/>
      <c r="I22" s="18">
        <f t="shared" si="10"/>
        <v>170347.35800685169</v>
      </c>
      <c r="J22" s="165">
        <f t="shared" si="11"/>
        <v>8.3879154275119643E-3</v>
      </c>
      <c r="K22" s="188">
        <f>'Illust. True-Up (Compliance)'!K23</f>
        <v>-2632.4717656857824</v>
      </c>
      <c r="L22" s="188"/>
      <c r="M22" s="18">
        <f t="shared" si="12"/>
        <v>167714.88624116592</v>
      </c>
      <c r="N22" s="35">
        <f t="shared" si="13"/>
        <v>4</v>
      </c>
      <c r="O22" s="18">
        <f t="shared" si="14"/>
        <v>41928.72156029148</v>
      </c>
      <c r="Q22" s="182">
        <f t="shared" si="15"/>
        <v>1.6215140661948863E-2</v>
      </c>
      <c r="R22" s="5">
        <f t="shared" si="16"/>
        <v>0</v>
      </c>
      <c r="S22" s="4">
        <f t="shared" si="17"/>
        <v>0</v>
      </c>
      <c r="T22" s="18">
        <f t="shared" si="18"/>
        <v>41928.72156029148</v>
      </c>
    </row>
    <row r="23" spans="1:20" hidden="1" x14ac:dyDescent="0.3">
      <c r="B23" s="23" t="str">
        <f>Input!B17</f>
        <v>Other</v>
      </c>
      <c r="C23" s="138">
        <f>'Initial Fee Calculation'!D11</f>
        <v>0</v>
      </c>
      <c r="D23" s="5">
        <f>'Initial Fee Calculation'!E11</f>
        <v>0</v>
      </c>
      <c r="E23" s="11"/>
      <c r="F23" s="4">
        <f>'Initial Fee Calculation'!H11</f>
        <v>0</v>
      </c>
      <c r="G23" s="17">
        <f t="shared" si="9"/>
        <v>0</v>
      </c>
      <c r="H23" s="4"/>
      <c r="I23" s="18">
        <f t="shared" si="10"/>
        <v>0</v>
      </c>
      <c r="J23" s="165">
        <f t="shared" ref="J23:J27" si="19">C23</f>
        <v>0</v>
      </c>
      <c r="K23" s="188">
        <f>'Illust. True-Up (Compliance)'!K24</f>
        <v>0</v>
      </c>
      <c r="L23" s="188"/>
      <c r="M23" s="18">
        <f t="shared" si="12"/>
        <v>0</v>
      </c>
      <c r="N23" s="35">
        <f t="shared" si="13"/>
        <v>4</v>
      </c>
      <c r="O23" s="18">
        <f>M23/N23</f>
        <v>0</v>
      </c>
      <c r="Q23" s="182">
        <f t="shared" ref="Q23:Q26" si="20">(O23/$K$13)</f>
        <v>0</v>
      </c>
      <c r="R23" s="5">
        <f t="shared" ref="R23:R26" si="21">$N$13*Q23</f>
        <v>0</v>
      </c>
      <c r="S23" s="4">
        <f t="shared" si="17"/>
        <v>0</v>
      </c>
      <c r="T23" s="18">
        <f t="shared" si="18"/>
        <v>0</v>
      </c>
    </row>
    <row r="24" spans="1:20" hidden="1" x14ac:dyDescent="0.3">
      <c r="B24" s="23" t="str">
        <f>Input!B18</f>
        <v>Other</v>
      </c>
      <c r="C24" s="138">
        <f>'Initial Fee Calculation'!D12</f>
        <v>0</v>
      </c>
      <c r="D24" s="5">
        <f>'Initial Fee Calculation'!E12</f>
        <v>0</v>
      </c>
      <c r="E24" s="11"/>
      <c r="F24" s="4">
        <f>'Initial Fee Calculation'!H12</f>
        <v>0</v>
      </c>
      <c r="G24" s="17">
        <f t="shared" si="9"/>
        <v>0</v>
      </c>
      <c r="H24" s="4"/>
      <c r="I24" s="18">
        <f t="shared" si="10"/>
        <v>0</v>
      </c>
      <c r="J24" s="165">
        <f t="shared" si="19"/>
        <v>0</v>
      </c>
      <c r="K24" s="188">
        <f>'Illust. True-Up (Compliance)'!K25</f>
        <v>0</v>
      </c>
      <c r="L24" s="188"/>
      <c r="M24" s="18">
        <f t="shared" si="12"/>
        <v>0</v>
      </c>
      <c r="N24" s="35">
        <f t="shared" si="13"/>
        <v>4</v>
      </c>
      <c r="O24" s="18">
        <f t="shared" si="14"/>
        <v>0</v>
      </c>
      <c r="Q24" s="182">
        <f t="shared" si="20"/>
        <v>0</v>
      </c>
      <c r="R24" s="5">
        <f t="shared" si="21"/>
        <v>0</v>
      </c>
      <c r="S24" s="4">
        <f t="shared" si="17"/>
        <v>0</v>
      </c>
      <c r="T24" s="18">
        <f t="shared" si="18"/>
        <v>0</v>
      </c>
    </row>
    <row r="25" spans="1:20" hidden="1" x14ac:dyDescent="0.3">
      <c r="B25" s="23" t="str">
        <f>Input!B19</f>
        <v>Other</v>
      </c>
      <c r="C25" s="138">
        <f>'Initial Fee Calculation'!D13</f>
        <v>0</v>
      </c>
      <c r="D25" s="5">
        <f>'Initial Fee Calculation'!E13</f>
        <v>0</v>
      </c>
      <c r="E25" s="11"/>
      <c r="F25" s="4">
        <f>'Initial Fee Calculation'!H13</f>
        <v>0</v>
      </c>
      <c r="G25" s="17">
        <f t="shared" si="9"/>
        <v>0</v>
      </c>
      <c r="H25" s="4"/>
      <c r="I25" s="18">
        <f t="shared" si="10"/>
        <v>0</v>
      </c>
      <c r="J25" s="165">
        <f t="shared" si="19"/>
        <v>0</v>
      </c>
      <c r="K25" s="188">
        <f>'Illust. True-Up (Compliance)'!K26</f>
        <v>0</v>
      </c>
      <c r="L25" s="188"/>
      <c r="M25" s="18">
        <f t="shared" si="12"/>
        <v>0</v>
      </c>
      <c r="N25" s="35">
        <f t="shared" si="13"/>
        <v>4</v>
      </c>
      <c r="O25" s="18">
        <f t="shared" si="14"/>
        <v>0</v>
      </c>
      <c r="Q25" s="182">
        <f t="shared" si="20"/>
        <v>0</v>
      </c>
      <c r="R25" s="5">
        <f t="shared" si="21"/>
        <v>0</v>
      </c>
      <c r="S25" s="4">
        <f t="shared" si="17"/>
        <v>0</v>
      </c>
      <c r="T25" s="18">
        <f t="shared" si="18"/>
        <v>0</v>
      </c>
    </row>
    <row r="26" spans="1:20" hidden="1" x14ac:dyDescent="0.3">
      <c r="B26" s="23" t="str">
        <f>Input!B20</f>
        <v>Other</v>
      </c>
      <c r="C26" s="138">
        <f>'Initial Fee Calculation'!D14</f>
        <v>0</v>
      </c>
      <c r="D26" s="5">
        <f>'Initial Fee Calculation'!E14</f>
        <v>0</v>
      </c>
      <c r="E26" s="11"/>
      <c r="F26" s="4">
        <f>'Initial Fee Calculation'!H14</f>
        <v>0</v>
      </c>
      <c r="G26" s="17">
        <f t="shared" si="9"/>
        <v>0</v>
      </c>
      <c r="H26" s="4"/>
      <c r="I26" s="18">
        <f t="shared" si="10"/>
        <v>0</v>
      </c>
      <c r="J26" s="165">
        <f t="shared" si="19"/>
        <v>0</v>
      </c>
      <c r="K26" s="188">
        <f>'Illust. True-Up (Compliance)'!K27</f>
        <v>0</v>
      </c>
      <c r="L26" s="188"/>
      <c r="M26" s="18">
        <f t="shared" si="12"/>
        <v>0</v>
      </c>
      <c r="N26" s="35">
        <f t="shared" si="13"/>
        <v>4</v>
      </c>
      <c r="O26" s="18">
        <f t="shared" si="14"/>
        <v>0</v>
      </c>
      <c r="Q26" s="182">
        <f t="shared" si="20"/>
        <v>0</v>
      </c>
      <c r="R26" s="5">
        <f t="shared" si="21"/>
        <v>0</v>
      </c>
      <c r="S26" s="4">
        <f t="shared" si="17"/>
        <v>0</v>
      </c>
      <c r="T26" s="18">
        <f t="shared" si="18"/>
        <v>0</v>
      </c>
    </row>
    <row r="27" spans="1:20" ht="15" thickBot="1" x14ac:dyDescent="0.35">
      <c r="B27" s="65" t="s">
        <v>1</v>
      </c>
      <c r="C27" s="158">
        <f t="shared" ref="C27:I27" si="22">SUM(C18:C26)</f>
        <v>0.99999999999999989</v>
      </c>
      <c r="D27" s="25">
        <f t="shared" si="22"/>
        <v>5306824</v>
      </c>
      <c r="E27" s="139">
        <f t="shared" si="22"/>
        <v>0.99999999999999989</v>
      </c>
      <c r="F27" s="25">
        <f t="shared" si="22"/>
        <v>14850121</v>
      </c>
      <c r="G27" s="41">
        <f t="shared" si="22"/>
        <v>20156945</v>
      </c>
      <c r="H27" s="25">
        <f t="shared" si="22"/>
        <v>9500000</v>
      </c>
      <c r="I27" s="27">
        <f t="shared" si="22"/>
        <v>10656944.999999998</v>
      </c>
      <c r="J27" s="166">
        <f t="shared" si="19"/>
        <v>0.99999999999999989</v>
      </c>
      <c r="K27" s="189">
        <f>'Illust. True-Up (Compliance)'!K29</f>
        <v>-313840.99999999994</v>
      </c>
      <c r="L27" s="189"/>
      <c r="M27" s="27">
        <f t="shared" si="12"/>
        <v>10343103.999999998</v>
      </c>
      <c r="N27" s="186">
        <f>J13</f>
        <v>4</v>
      </c>
      <c r="O27" s="27">
        <f>SUM(O18:O26)</f>
        <v>2585776</v>
      </c>
      <c r="Q27" s="181">
        <f>SUM(Q18:Q26)</f>
        <v>1</v>
      </c>
      <c r="R27" s="25">
        <f>'Fee Recovery by MP w True-Up '!AW41</f>
        <v>0</v>
      </c>
      <c r="S27" s="25">
        <f t="shared" si="17"/>
        <v>0</v>
      </c>
      <c r="T27" s="27">
        <f>SUM(T18:T26)</f>
        <v>2585776</v>
      </c>
    </row>
  </sheetData>
  <mergeCells count="9">
    <mergeCell ref="Q16:T16"/>
    <mergeCell ref="G2:I2"/>
    <mergeCell ref="J2:K2"/>
    <mergeCell ref="M2:P2"/>
    <mergeCell ref="C2:F2"/>
    <mergeCell ref="C16:F16"/>
    <mergeCell ref="G16:I16"/>
    <mergeCell ref="N16:O16"/>
    <mergeCell ref="J16:M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5D72-DB4E-4A42-8368-A24A47BB4C04}">
  <sheetPr>
    <tabColor theme="7" tint="0.79998168889431442"/>
  </sheetPr>
  <dimension ref="A1:AP43"/>
  <sheetViews>
    <sheetView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47" sqref="F47"/>
    </sheetView>
  </sheetViews>
  <sheetFormatPr defaultColWidth="8.88671875" defaultRowHeight="14.4" x14ac:dyDescent="0.3"/>
  <cols>
    <col min="1" max="1" width="25.109375" style="2" customWidth="1"/>
    <col min="2" max="2" width="11.109375" style="2" customWidth="1"/>
    <col min="3" max="6" width="13.109375" style="2" customWidth="1"/>
    <col min="7" max="7" width="18.33203125" style="2" customWidth="1"/>
    <col min="8" max="8" width="9.5546875" style="2" customWidth="1"/>
    <col min="9" max="13" width="15.44140625" style="2" customWidth="1"/>
    <col min="14" max="14" width="8.88671875" style="2"/>
    <col min="15" max="19" width="15.44140625" style="2" customWidth="1"/>
    <col min="20" max="20" width="8.88671875" style="2"/>
    <col min="21" max="25" width="15.44140625" style="2" customWidth="1"/>
    <col min="26" max="26" width="8.88671875" style="2"/>
    <col min="27" max="31" width="15.44140625" style="2" customWidth="1"/>
    <col min="32" max="32" width="8.88671875" style="2"/>
    <col min="33" max="37" width="15.44140625" style="2" customWidth="1"/>
    <col min="38" max="38" width="8.88671875" style="2"/>
    <col min="39" max="39" width="14.6640625" style="66" customWidth="1"/>
    <col min="40" max="40" width="14.5546875" style="66" customWidth="1"/>
    <col min="41" max="41" width="13" style="66" bestFit="1" customWidth="1"/>
    <col min="42" max="42" width="13.5546875" style="66" customWidth="1"/>
    <col min="43" max="16384" width="8.88671875" style="2"/>
  </cols>
  <sheetData>
    <row r="1" spans="1:42" s="75" customFormat="1" ht="15" thickBot="1" x14ac:dyDescent="0.35">
      <c r="G1" s="76"/>
      <c r="L1" s="76"/>
      <c r="O1" s="75" t="str">
        <f>LEFT(O2,FIND(" ",O2))</f>
        <v xml:space="preserve">Berwick </v>
      </c>
      <c r="R1" s="76"/>
      <c r="U1" s="75" t="str">
        <f>LEFT(U2,FIND(" ",U2))</f>
        <v xml:space="preserve">Riverport </v>
      </c>
      <c r="X1" s="76"/>
      <c r="AA1" s="75" t="s">
        <v>28</v>
      </c>
      <c r="AD1" s="76"/>
      <c r="AG1" s="75" t="s">
        <v>29</v>
      </c>
      <c r="AJ1" s="76"/>
      <c r="AM1" s="112"/>
      <c r="AN1" s="112"/>
      <c r="AO1" s="112"/>
      <c r="AP1" s="112"/>
    </row>
    <row r="2" spans="1:42" s="22" customFormat="1" ht="18" thickBot="1" x14ac:dyDescent="0.4">
      <c r="B2" s="219" t="s">
        <v>17</v>
      </c>
      <c r="C2" s="220"/>
      <c r="D2" s="220"/>
      <c r="E2" s="220"/>
      <c r="F2" s="220"/>
      <c r="G2" s="221"/>
      <c r="I2" s="219" t="str">
        <f>Input!B12</f>
        <v>NSPI</v>
      </c>
      <c r="J2" s="220"/>
      <c r="K2" s="220"/>
      <c r="L2" s="220"/>
      <c r="M2" s="221"/>
      <c r="O2" s="219" t="str">
        <f>Input!B13</f>
        <v>Berwick Electric Commission</v>
      </c>
      <c r="P2" s="220"/>
      <c r="Q2" s="220"/>
      <c r="R2" s="220"/>
      <c r="S2" s="221"/>
      <c r="U2" s="219" t="str">
        <f>Input!B14</f>
        <v>Riverport Electric Light Commission</v>
      </c>
      <c r="V2" s="220"/>
      <c r="W2" s="220"/>
      <c r="X2" s="220"/>
      <c r="Y2" s="221"/>
      <c r="AA2" s="219" t="str">
        <f>Input!B15</f>
        <v>Town of Mahone Bay</v>
      </c>
      <c r="AB2" s="220"/>
      <c r="AC2" s="220"/>
      <c r="AD2" s="220"/>
      <c r="AE2" s="221"/>
      <c r="AG2" s="219" t="str">
        <f>Input!B16</f>
        <v>Town of Antigonish</v>
      </c>
      <c r="AH2" s="220"/>
      <c r="AI2" s="220"/>
      <c r="AJ2" s="220"/>
      <c r="AK2" s="221"/>
      <c r="AM2" s="216" t="s">
        <v>53</v>
      </c>
      <c r="AN2" s="217"/>
      <c r="AO2" s="217"/>
      <c r="AP2" s="218"/>
    </row>
    <row r="3" spans="1:42" s="20" customFormat="1" ht="43.2" x14ac:dyDescent="0.3">
      <c r="B3" s="30" t="s">
        <v>11</v>
      </c>
      <c r="C3" s="83" t="s">
        <v>8</v>
      </c>
      <c r="D3" s="83" t="s">
        <v>52</v>
      </c>
      <c r="E3" s="83" t="s">
        <v>54</v>
      </c>
      <c r="F3" s="83" t="s">
        <v>9</v>
      </c>
      <c r="G3" s="31" t="s">
        <v>13</v>
      </c>
      <c r="I3" s="12" t="s">
        <v>7</v>
      </c>
      <c r="J3" s="83" t="s">
        <v>52</v>
      </c>
      <c r="K3" s="83" t="s">
        <v>54</v>
      </c>
      <c r="L3" s="15" t="s">
        <v>22</v>
      </c>
      <c r="M3" s="103" t="s">
        <v>23</v>
      </c>
      <c r="O3" s="12" t="str">
        <f>O1&amp;" Fees"</f>
        <v>Berwick  Fees</v>
      </c>
      <c r="P3" s="83" t="s">
        <v>52</v>
      </c>
      <c r="Q3" s="83" t="s">
        <v>54</v>
      </c>
      <c r="R3" s="15" t="str">
        <f>"Fees Recovered from "&amp;O1</f>
        <v xml:space="preserve">Fees Recovered from Berwick </v>
      </c>
      <c r="S3" s="103" t="str">
        <f>O1&amp;"  Month End  Balance"</f>
        <v>Berwick   Month End  Balance</v>
      </c>
      <c r="U3" s="12" t="str">
        <f>U1&amp;" Fees"</f>
        <v>Riverport  Fees</v>
      </c>
      <c r="V3" s="83" t="s">
        <v>52</v>
      </c>
      <c r="W3" s="83" t="s">
        <v>54</v>
      </c>
      <c r="X3" s="15" t="str">
        <f>"Fees Recovered from "&amp;U1</f>
        <v xml:space="preserve">Fees Recovered from Riverport </v>
      </c>
      <c r="Y3" s="103" t="str">
        <f>U1&amp;"  Month End  Balance"</f>
        <v>Riverport   Month End  Balance</v>
      </c>
      <c r="AA3" s="12" t="str">
        <f>AA1&amp;" Fees"</f>
        <v>Mahone Bay Fees</v>
      </c>
      <c r="AB3" s="83" t="s">
        <v>52</v>
      </c>
      <c r="AC3" s="83" t="s">
        <v>54</v>
      </c>
      <c r="AD3" s="15" t="str">
        <f>"Fees Recovered from "&amp;AA1</f>
        <v>Fees Recovered from Mahone Bay</v>
      </c>
      <c r="AE3" s="103" t="str">
        <f>AA1&amp;"  Month End  Balance"</f>
        <v>Mahone Bay  Month End  Balance</v>
      </c>
      <c r="AG3" s="12" t="str">
        <f>AG1&amp;" Fees"</f>
        <v>Antigonish Fees</v>
      </c>
      <c r="AH3" s="83" t="s">
        <v>52</v>
      </c>
      <c r="AI3" s="83" t="s">
        <v>54</v>
      </c>
      <c r="AJ3" s="15" t="str">
        <f>"Fees Recovered from "&amp;AG1</f>
        <v>Fees Recovered from Antigonish</v>
      </c>
      <c r="AK3" s="103" t="str">
        <f>AG1&amp;"  Month End  Balance"</f>
        <v>Antigonish  Month End  Balance</v>
      </c>
      <c r="AM3" s="113" t="str">
        <f>AM1&amp;" Fees"</f>
        <v xml:space="preserve"> Fees</v>
      </c>
      <c r="AN3" s="114" t="str">
        <f>"Fees Recovered from "&amp;AM1</f>
        <v xml:space="preserve">Fees Recovered from </v>
      </c>
      <c r="AO3" s="115" t="str">
        <f>AM1&amp;"  Month End  Balance"</f>
        <v xml:space="preserve">  Month End  Balance</v>
      </c>
      <c r="AP3" s="116" t="s">
        <v>43</v>
      </c>
    </row>
    <row r="4" spans="1:42" x14ac:dyDescent="0.3">
      <c r="A4" s="2" t="s">
        <v>41</v>
      </c>
      <c r="B4" s="32">
        <v>45748</v>
      </c>
      <c r="C4" s="5">
        <f>'Initial Fee Calculation'!$K$16</f>
        <v>442235.33333333331</v>
      </c>
      <c r="D4" s="5"/>
      <c r="E4" s="5"/>
      <c r="F4" s="4">
        <f t="shared" ref="F4:G39" si="0">L4+R4+X4+AD4+AJ4</f>
        <v>0</v>
      </c>
      <c r="G4" s="18">
        <f t="shared" si="0"/>
        <v>442235.33333333331</v>
      </c>
      <c r="H4" s="5"/>
      <c r="I4" s="17">
        <f>'Initial Fee Calculation'!$K$6</f>
        <v>435899.79716495838</v>
      </c>
      <c r="J4" s="5"/>
      <c r="K4" s="5"/>
      <c r="L4" s="4">
        <v>0</v>
      </c>
      <c r="M4" s="104">
        <f>I4+L4+K4</f>
        <v>435899.79716495838</v>
      </c>
      <c r="O4" s="17">
        <f>'Initial Fee Calculation'!$K$7</f>
        <v>1636.1959335798558</v>
      </c>
      <c r="P4" s="5"/>
      <c r="Q4" s="5"/>
      <c r="R4" s="4">
        <v>0</v>
      </c>
      <c r="S4" s="104">
        <f>O4+R4+Q4</f>
        <v>1636.1959335798558</v>
      </c>
      <c r="U4" s="17">
        <f>'Initial Fee Calculation'!$K$8</f>
        <v>390.43897360203096</v>
      </c>
      <c r="V4" s="5"/>
      <c r="W4" s="5"/>
      <c r="X4" s="4">
        <v>0</v>
      </c>
      <c r="Y4" s="104">
        <f>U4+X4+W4</f>
        <v>390.43897360203096</v>
      </c>
      <c r="AA4" s="17">
        <f>'Initial Fee Calculation'!$K$9</f>
        <v>599.46868613550294</v>
      </c>
      <c r="AB4" s="5"/>
      <c r="AC4" s="5"/>
      <c r="AD4" s="4">
        <v>0</v>
      </c>
      <c r="AE4" s="104">
        <f>AA4+AD4+AC4</f>
        <v>599.46868613550294</v>
      </c>
      <c r="AG4" s="17">
        <f>'Initial Fee Calculation'!$K$10</f>
        <v>3709.4325750575626</v>
      </c>
      <c r="AH4" s="5"/>
      <c r="AI4" s="5"/>
      <c r="AJ4" s="4">
        <v>0</v>
      </c>
      <c r="AK4" s="104">
        <f>AG4+AJ4+AI4</f>
        <v>3709.4325750575626</v>
      </c>
      <c r="AM4" s="117">
        <f>'Initial Fee Calculation'!$K$16</f>
        <v>442235.33333333331</v>
      </c>
      <c r="AN4" s="118">
        <v>0</v>
      </c>
      <c r="AO4" s="119">
        <f>AM4+AN4</f>
        <v>442235.33333333331</v>
      </c>
      <c r="AP4" s="120"/>
    </row>
    <row r="5" spans="1:42" x14ac:dyDescent="0.3">
      <c r="A5" s="2" t="s">
        <v>41</v>
      </c>
      <c r="B5" s="32">
        <f>EOMONTH(B4,0)+1</f>
        <v>45778</v>
      </c>
      <c r="C5" s="5">
        <f>'Initial Fee Calculation'!$K$16</f>
        <v>442235.33333333331</v>
      </c>
      <c r="D5" s="5"/>
      <c r="E5" s="5"/>
      <c r="F5" s="4">
        <f t="shared" si="0"/>
        <v>0</v>
      </c>
      <c r="G5" s="18">
        <f t="shared" si="0"/>
        <v>884470.66666666663</v>
      </c>
      <c r="H5" s="5"/>
      <c r="I5" s="17">
        <f>'Initial Fee Calculation'!$K$6</f>
        <v>435899.79716495838</v>
      </c>
      <c r="J5" s="5"/>
      <c r="K5" s="5"/>
      <c r="L5" s="4">
        <v>0</v>
      </c>
      <c r="M5" s="104">
        <f t="shared" ref="M5:M22" si="1">I5+L5+M4+K5</f>
        <v>871799.59432991676</v>
      </c>
      <c r="O5" s="17">
        <f>'Initial Fee Calculation'!$K$7</f>
        <v>1636.1959335798558</v>
      </c>
      <c r="P5" s="5"/>
      <c r="Q5" s="5"/>
      <c r="R5" s="4">
        <v>0</v>
      </c>
      <c r="S5" s="104">
        <f>O5+R5+S4+Q5</f>
        <v>3272.3918671597116</v>
      </c>
      <c r="U5" s="17">
        <f>'Initial Fee Calculation'!$K$8</f>
        <v>390.43897360203096</v>
      </c>
      <c r="V5" s="5"/>
      <c r="W5" s="5"/>
      <c r="X5" s="4">
        <v>0</v>
      </c>
      <c r="Y5" s="104">
        <f>U5+X5+Y4+W5</f>
        <v>780.87794720406191</v>
      </c>
      <c r="AA5" s="17">
        <f>'Initial Fee Calculation'!$K$9</f>
        <v>599.46868613550294</v>
      </c>
      <c r="AB5" s="5"/>
      <c r="AC5" s="5"/>
      <c r="AD5" s="4">
        <v>0</v>
      </c>
      <c r="AE5" s="104">
        <f>AA5+AD5+AE4+AC5</f>
        <v>1198.9373722710059</v>
      </c>
      <c r="AG5" s="17">
        <f>'Initial Fee Calculation'!$K$10</f>
        <v>3709.4325750575626</v>
      </c>
      <c r="AH5" s="5"/>
      <c r="AI5" s="5"/>
      <c r="AJ5" s="4">
        <v>0</v>
      </c>
      <c r="AK5" s="104">
        <f>AG5+AJ5+AK4+AI5</f>
        <v>7418.8651501151253</v>
      </c>
      <c r="AM5" s="117">
        <f>'Initial Fee Calculation'!$K$16</f>
        <v>442235.33333333331</v>
      </c>
      <c r="AN5" s="118">
        <v>0</v>
      </c>
      <c r="AO5" s="119">
        <f>AM5+AO4+AN5</f>
        <v>884470.66666666663</v>
      </c>
      <c r="AP5" s="120"/>
    </row>
    <row r="6" spans="1:42" x14ac:dyDescent="0.3">
      <c r="A6" s="2" t="s">
        <v>41</v>
      </c>
      <c r="B6" s="32">
        <f t="shared" ref="B6:B39" si="2">EOMONTH(B5,0)+1</f>
        <v>45809</v>
      </c>
      <c r="C6" s="5">
        <f>'Initial Fee Calculation'!$K$16</f>
        <v>442235.33333333331</v>
      </c>
      <c r="D6" s="5"/>
      <c r="E6" s="5"/>
      <c r="F6" s="4">
        <f t="shared" si="0"/>
        <v>0</v>
      </c>
      <c r="G6" s="18">
        <f t="shared" si="0"/>
        <v>1326706</v>
      </c>
      <c r="H6" s="5"/>
      <c r="I6" s="17">
        <f>'Initial Fee Calculation'!$K$6</f>
        <v>435899.79716495838</v>
      </c>
      <c r="J6" s="5"/>
      <c r="K6" s="5"/>
      <c r="L6" s="4">
        <v>0</v>
      </c>
      <c r="M6" s="104">
        <f t="shared" si="1"/>
        <v>1307699.3914948751</v>
      </c>
      <c r="O6" s="17">
        <f>'Initial Fee Calculation'!$K$7</f>
        <v>1636.1959335798558</v>
      </c>
      <c r="P6" s="5"/>
      <c r="Q6" s="5"/>
      <c r="R6" s="4">
        <v>0</v>
      </c>
      <c r="S6" s="104">
        <f t="shared" ref="S6:S23" si="3">O6+R6+S5+Q6</f>
        <v>4908.5878007395677</v>
      </c>
      <c r="U6" s="17">
        <f>'Initial Fee Calculation'!$K$8</f>
        <v>390.43897360203096</v>
      </c>
      <c r="V6" s="5"/>
      <c r="W6" s="5"/>
      <c r="X6" s="4">
        <v>0</v>
      </c>
      <c r="Y6" s="104">
        <f t="shared" ref="Y6:Y23" si="4">U6+X6+Y5+W6</f>
        <v>1171.3169208060929</v>
      </c>
      <c r="AA6" s="17">
        <f>'Initial Fee Calculation'!$K$9</f>
        <v>599.46868613550294</v>
      </c>
      <c r="AB6" s="5"/>
      <c r="AC6" s="5"/>
      <c r="AD6" s="4">
        <v>0</v>
      </c>
      <c r="AE6" s="104">
        <f t="shared" ref="AE6:AE23" si="5">AA6+AD6+AE5+AC6</f>
        <v>1798.4060584065087</v>
      </c>
      <c r="AG6" s="17">
        <f>'Initial Fee Calculation'!$K$10</f>
        <v>3709.4325750575626</v>
      </c>
      <c r="AH6" s="5"/>
      <c r="AI6" s="5"/>
      <c r="AJ6" s="4">
        <v>0</v>
      </c>
      <c r="AK6" s="104">
        <f t="shared" ref="AK6:AK23" si="6">AG6+AJ6+AK5+AI6</f>
        <v>11128.297725172688</v>
      </c>
      <c r="AM6" s="117">
        <f>'Initial Fee Calculation'!$K$16</f>
        <v>442235.33333333331</v>
      </c>
      <c r="AN6" s="118">
        <v>0</v>
      </c>
      <c r="AO6" s="119">
        <f t="shared" ref="AO6:AO39" si="7">AM6+AO5+AN6</f>
        <v>1326706</v>
      </c>
      <c r="AP6" s="120"/>
    </row>
    <row r="7" spans="1:42" x14ac:dyDescent="0.3">
      <c r="A7" s="2" t="s">
        <v>41</v>
      </c>
      <c r="B7" s="32">
        <f t="shared" si="2"/>
        <v>45839</v>
      </c>
      <c r="C7" s="5">
        <f>'Initial Fee Calculation'!$K$16</f>
        <v>442235.33333333331</v>
      </c>
      <c r="D7" s="5"/>
      <c r="E7" s="5"/>
      <c r="F7" s="4">
        <f t="shared" si="0"/>
        <v>0</v>
      </c>
      <c r="G7" s="18">
        <f t="shared" si="0"/>
        <v>1768941.3333333333</v>
      </c>
      <c r="H7" s="5"/>
      <c r="I7" s="17">
        <f>'Initial Fee Calculation'!$K$6</f>
        <v>435899.79716495838</v>
      </c>
      <c r="J7" s="5"/>
      <c r="K7" s="5"/>
      <c r="L7" s="4">
        <v>0</v>
      </c>
      <c r="M7" s="104">
        <f t="shared" si="1"/>
        <v>1743599.1886598335</v>
      </c>
      <c r="O7" s="17">
        <f>'Initial Fee Calculation'!$K$7</f>
        <v>1636.1959335798558</v>
      </c>
      <c r="P7" s="5"/>
      <c r="Q7" s="5"/>
      <c r="R7" s="4">
        <v>0</v>
      </c>
      <c r="S7" s="104">
        <f t="shared" si="3"/>
        <v>6544.7837343194233</v>
      </c>
      <c r="U7" s="17">
        <f>'Initial Fee Calculation'!$K$8</f>
        <v>390.43897360203096</v>
      </c>
      <c r="V7" s="5"/>
      <c r="W7" s="5"/>
      <c r="X7" s="4">
        <v>0</v>
      </c>
      <c r="Y7" s="104">
        <f t="shared" si="4"/>
        <v>1561.7558944081238</v>
      </c>
      <c r="AA7" s="17">
        <f>'Initial Fee Calculation'!$K$9</f>
        <v>599.46868613550294</v>
      </c>
      <c r="AB7" s="5"/>
      <c r="AC7" s="5"/>
      <c r="AD7" s="4">
        <v>0</v>
      </c>
      <c r="AE7" s="104">
        <f t="shared" si="5"/>
        <v>2397.8747445420117</v>
      </c>
      <c r="AG7" s="17">
        <f>'Initial Fee Calculation'!$K$10</f>
        <v>3709.4325750575626</v>
      </c>
      <c r="AH7" s="5"/>
      <c r="AI7" s="5"/>
      <c r="AJ7" s="4">
        <v>0</v>
      </c>
      <c r="AK7" s="104">
        <f t="shared" si="6"/>
        <v>14837.730300230251</v>
      </c>
      <c r="AM7" s="117">
        <f>'Initial Fee Calculation'!$K$16</f>
        <v>442235.33333333331</v>
      </c>
      <c r="AN7" s="118">
        <v>0</v>
      </c>
      <c r="AO7" s="119">
        <f t="shared" si="7"/>
        <v>1768941.3333333333</v>
      </c>
      <c r="AP7" s="120"/>
    </row>
    <row r="8" spans="1:42" x14ac:dyDescent="0.3">
      <c r="A8" s="2" t="s">
        <v>41</v>
      </c>
      <c r="B8" s="32">
        <f t="shared" si="2"/>
        <v>45870</v>
      </c>
      <c r="C8" s="5">
        <f>'Initial Fee Calculation'!$K$16</f>
        <v>442235.33333333331</v>
      </c>
      <c r="D8" s="5"/>
      <c r="E8" s="5"/>
      <c r="F8" s="4">
        <f t="shared" si="0"/>
        <v>0</v>
      </c>
      <c r="G8" s="18">
        <f t="shared" si="0"/>
        <v>2211176.666666666</v>
      </c>
      <c r="H8" s="5"/>
      <c r="I8" s="17">
        <f>'Initial Fee Calculation'!$K$6</f>
        <v>435899.79716495838</v>
      </c>
      <c r="J8" s="5"/>
      <c r="K8" s="5"/>
      <c r="L8" s="4">
        <v>0</v>
      </c>
      <c r="M8" s="104">
        <f t="shared" si="1"/>
        <v>2179498.9858247917</v>
      </c>
      <c r="O8" s="17">
        <f>'Initial Fee Calculation'!$K$7</f>
        <v>1636.1959335798558</v>
      </c>
      <c r="P8" s="5"/>
      <c r="Q8" s="5"/>
      <c r="R8" s="4">
        <v>0</v>
      </c>
      <c r="S8" s="104">
        <f t="shared" si="3"/>
        <v>8180.9796678992789</v>
      </c>
      <c r="U8" s="17">
        <f>'Initial Fee Calculation'!$K$8</f>
        <v>390.43897360203096</v>
      </c>
      <c r="V8" s="5"/>
      <c r="W8" s="5"/>
      <c r="X8" s="4">
        <v>0</v>
      </c>
      <c r="Y8" s="104">
        <f t="shared" si="4"/>
        <v>1952.1948680101548</v>
      </c>
      <c r="AA8" s="17">
        <f>'Initial Fee Calculation'!$K$9</f>
        <v>599.46868613550294</v>
      </c>
      <c r="AB8" s="5"/>
      <c r="AC8" s="5"/>
      <c r="AD8" s="4">
        <v>0</v>
      </c>
      <c r="AE8" s="104">
        <f t="shared" si="5"/>
        <v>2997.3434306775148</v>
      </c>
      <c r="AG8" s="17">
        <f>'Initial Fee Calculation'!$K$10</f>
        <v>3709.4325750575626</v>
      </c>
      <c r="AH8" s="5"/>
      <c r="AI8" s="5"/>
      <c r="AJ8" s="4">
        <v>0</v>
      </c>
      <c r="AK8" s="104">
        <f t="shared" si="6"/>
        <v>18547.162875287813</v>
      </c>
      <c r="AM8" s="117">
        <f>'Initial Fee Calculation'!$K$16</f>
        <v>442235.33333333331</v>
      </c>
      <c r="AN8" s="118">
        <v>0</v>
      </c>
      <c r="AO8" s="119">
        <f t="shared" si="7"/>
        <v>2211176.6666666665</v>
      </c>
      <c r="AP8" s="120"/>
    </row>
    <row r="9" spans="1:42" x14ac:dyDescent="0.3">
      <c r="A9" s="2" t="s">
        <v>41</v>
      </c>
      <c r="B9" s="32">
        <f t="shared" si="2"/>
        <v>45901</v>
      </c>
      <c r="C9" s="5">
        <f>'Initial Fee Calculation'!$K$16</f>
        <v>442235.33333333331</v>
      </c>
      <c r="D9" s="5"/>
      <c r="E9" s="5"/>
      <c r="F9" s="4">
        <f t="shared" si="0"/>
        <v>0</v>
      </c>
      <c r="G9" s="18">
        <f t="shared" si="0"/>
        <v>2653412</v>
      </c>
      <c r="H9" s="5"/>
      <c r="I9" s="17">
        <f>'Initial Fee Calculation'!$K$6</f>
        <v>435899.79716495838</v>
      </c>
      <c r="J9" s="5"/>
      <c r="K9" s="5"/>
      <c r="L9" s="4">
        <v>0</v>
      </c>
      <c r="M9" s="104">
        <f t="shared" si="1"/>
        <v>2615398.7829897502</v>
      </c>
      <c r="O9" s="17">
        <f>'Initial Fee Calculation'!$K$7</f>
        <v>1636.1959335798558</v>
      </c>
      <c r="P9" s="5"/>
      <c r="Q9" s="5"/>
      <c r="R9" s="4">
        <v>0</v>
      </c>
      <c r="S9" s="104">
        <f t="shared" si="3"/>
        <v>9817.1756014791354</v>
      </c>
      <c r="U9" s="17">
        <f>'Initial Fee Calculation'!$K$8</f>
        <v>390.43897360203096</v>
      </c>
      <c r="V9" s="5"/>
      <c r="W9" s="5"/>
      <c r="X9" s="4">
        <v>0</v>
      </c>
      <c r="Y9" s="104">
        <f t="shared" si="4"/>
        <v>2342.6338416121857</v>
      </c>
      <c r="AA9" s="17">
        <f>'Initial Fee Calculation'!$K$9</f>
        <v>599.46868613550294</v>
      </c>
      <c r="AB9" s="5"/>
      <c r="AC9" s="5"/>
      <c r="AD9" s="4">
        <v>0</v>
      </c>
      <c r="AE9" s="104">
        <f t="shared" si="5"/>
        <v>3596.8121168130178</v>
      </c>
      <c r="AG9" s="17">
        <f>'Initial Fee Calculation'!$K$10</f>
        <v>3709.4325750575626</v>
      </c>
      <c r="AH9" s="5"/>
      <c r="AI9" s="5"/>
      <c r="AJ9" s="4">
        <v>0</v>
      </c>
      <c r="AK9" s="104">
        <f t="shared" si="6"/>
        <v>22256.595450345376</v>
      </c>
      <c r="AM9" s="117">
        <f>'Initial Fee Calculation'!$K$16</f>
        <v>442235.33333333331</v>
      </c>
      <c r="AN9" s="118">
        <v>0</v>
      </c>
      <c r="AO9" s="119">
        <f t="shared" si="7"/>
        <v>2653412</v>
      </c>
      <c r="AP9" s="120"/>
    </row>
    <row r="10" spans="1:42" x14ac:dyDescent="0.3">
      <c r="A10" s="2" t="s">
        <v>41</v>
      </c>
      <c r="B10" s="32">
        <f t="shared" si="2"/>
        <v>45931</v>
      </c>
      <c r="C10" s="5">
        <f>'Initial Fee Calculation'!$K$16</f>
        <v>442235.33333333331</v>
      </c>
      <c r="D10" s="5"/>
      <c r="E10" s="5"/>
      <c r="F10" s="4">
        <f t="shared" si="0"/>
        <v>0</v>
      </c>
      <c r="G10" s="18">
        <f t="shared" si="0"/>
        <v>3095647.3333333335</v>
      </c>
      <c r="H10" s="5"/>
      <c r="I10" s="17">
        <f>'Initial Fee Calculation'!$K$6</f>
        <v>435899.79716495838</v>
      </c>
      <c r="J10" s="5"/>
      <c r="K10" s="5"/>
      <c r="L10" s="4">
        <v>0</v>
      </c>
      <c r="M10" s="104">
        <f t="shared" si="1"/>
        <v>3051298.5801547086</v>
      </c>
      <c r="O10" s="17">
        <f>'Initial Fee Calculation'!$K$7</f>
        <v>1636.1959335798558</v>
      </c>
      <c r="P10" s="5"/>
      <c r="Q10" s="5"/>
      <c r="R10" s="4">
        <v>0</v>
      </c>
      <c r="S10" s="104">
        <f t="shared" si="3"/>
        <v>11453.371535058992</v>
      </c>
      <c r="U10" s="17">
        <f>'Initial Fee Calculation'!$K$8</f>
        <v>390.43897360203096</v>
      </c>
      <c r="V10" s="5"/>
      <c r="W10" s="5"/>
      <c r="X10" s="4">
        <v>0</v>
      </c>
      <c r="Y10" s="104">
        <f t="shared" si="4"/>
        <v>2733.0728152142165</v>
      </c>
      <c r="AA10" s="17">
        <f>'Initial Fee Calculation'!$K$9</f>
        <v>599.46868613550294</v>
      </c>
      <c r="AB10" s="5"/>
      <c r="AC10" s="5"/>
      <c r="AD10" s="4">
        <v>0</v>
      </c>
      <c r="AE10" s="104">
        <f t="shared" si="5"/>
        <v>4196.2808029485204</v>
      </c>
      <c r="AG10" s="17">
        <f>'Initial Fee Calculation'!$K$10</f>
        <v>3709.4325750575626</v>
      </c>
      <c r="AH10" s="5"/>
      <c r="AI10" s="5"/>
      <c r="AJ10" s="4">
        <v>0</v>
      </c>
      <c r="AK10" s="104">
        <f t="shared" si="6"/>
        <v>25966.028025402939</v>
      </c>
      <c r="AM10" s="117">
        <f>'Initial Fee Calculation'!$K$16</f>
        <v>442235.33333333331</v>
      </c>
      <c r="AN10" s="118">
        <v>0</v>
      </c>
      <c r="AO10" s="119">
        <f t="shared" si="7"/>
        <v>3095647.3333333335</v>
      </c>
      <c r="AP10" s="120"/>
    </row>
    <row r="11" spans="1:42" x14ac:dyDescent="0.3">
      <c r="A11" s="2" t="s">
        <v>41</v>
      </c>
      <c r="B11" s="32">
        <f t="shared" si="2"/>
        <v>45962</v>
      </c>
      <c r="C11" s="5">
        <f>'Initial Fee Calculation'!$K$16</f>
        <v>442235.33333333331</v>
      </c>
      <c r="D11" s="5"/>
      <c r="E11" s="5"/>
      <c r="F11" s="4">
        <f t="shared" si="0"/>
        <v>0</v>
      </c>
      <c r="G11" s="18">
        <f t="shared" si="0"/>
        <v>3537882.6666666665</v>
      </c>
      <c r="H11" s="5"/>
      <c r="I11" s="17">
        <f>'Initial Fee Calculation'!$K$6</f>
        <v>435899.79716495838</v>
      </c>
      <c r="J11" s="5"/>
      <c r="K11" s="5"/>
      <c r="L11" s="4">
        <v>0</v>
      </c>
      <c r="M11" s="104">
        <f t="shared" si="1"/>
        <v>3487198.377319667</v>
      </c>
      <c r="O11" s="17">
        <f>'Initial Fee Calculation'!$K$7</f>
        <v>1636.1959335798558</v>
      </c>
      <c r="P11" s="5"/>
      <c r="Q11" s="5"/>
      <c r="R11" s="4">
        <v>0</v>
      </c>
      <c r="S11" s="104">
        <f t="shared" si="3"/>
        <v>13089.567468638848</v>
      </c>
      <c r="U11" s="17">
        <f>'Initial Fee Calculation'!$K$8</f>
        <v>390.43897360203096</v>
      </c>
      <c r="V11" s="5"/>
      <c r="W11" s="5"/>
      <c r="X11" s="4">
        <v>0</v>
      </c>
      <c r="Y11" s="104">
        <f t="shared" si="4"/>
        <v>3123.5117888162476</v>
      </c>
      <c r="AA11" s="17">
        <f>'Initial Fee Calculation'!$K$9</f>
        <v>599.46868613550294</v>
      </c>
      <c r="AB11" s="5"/>
      <c r="AC11" s="5"/>
      <c r="AD11" s="4">
        <v>0</v>
      </c>
      <c r="AE11" s="104">
        <f t="shared" si="5"/>
        <v>4795.7494890840235</v>
      </c>
      <c r="AG11" s="17">
        <f>'Initial Fee Calculation'!$K$10</f>
        <v>3709.4325750575626</v>
      </c>
      <c r="AH11" s="5"/>
      <c r="AI11" s="5"/>
      <c r="AJ11" s="4">
        <v>0</v>
      </c>
      <c r="AK11" s="104">
        <f t="shared" si="6"/>
        <v>29675.460600460501</v>
      </c>
      <c r="AM11" s="117">
        <f>'Initial Fee Calculation'!$K$16</f>
        <v>442235.33333333331</v>
      </c>
      <c r="AN11" s="118">
        <v>0</v>
      </c>
      <c r="AO11" s="119">
        <f t="shared" si="7"/>
        <v>3537882.666666667</v>
      </c>
      <c r="AP11" s="120"/>
    </row>
    <row r="12" spans="1:42" x14ac:dyDescent="0.3">
      <c r="A12" s="2" t="s">
        <v>41</v>
      </c>
      <c r="B12" s="32">
        <f t="shared" si="2"/>
        <v>45992</v>
      </c>
      <c r="C12" s="5">
        <f>'Initial Fee Calculation'!$K$16</f>
        <v>442235.33333333331</v>
      </c>
      <c r="D12" s="5"/>
      <c r="E12" s="5"/>
      <c r="F12" s="4">
        <f t="shared" si="0"/>
        <v>0</v>
      </c>
      <c r="G12" s="18">
        <f t="shared" si="0"/>
        <v>3980118</v>
      </c>
      <c r="H12" s="5"/>
      <c r="I12" s="17">
        <f>'Initial Fee Calculation'!$K$6</f>
        <v>435899.79716495838</v>
      </c>
      <c r="J12" s="5"/>
      <c r="K12" s="5"/>
      <c r="L12" s="4">
        <v>0</v>
      </c>
      <c r="M12" s="104">
        <f t="shared" si="1"/>
        <v>3923098.1744846255</v>
      </c>
      <c r="O12" s="17">
        <f>'Initial Fee Calculation'!$K$7</f>
        <v>1636.1959335798558</v>
      </c>
      <c r="P12" s="5"/>
      <c r="Q12" s="5"/>
      <c r="R12" s="4">
        <v>0</v>
      </c>
      <c r="S12" s="104">
        <f t="shared" si="3"/>
        <v>14725.763402218705</v>
      </c>
      <c r="U12" s="17">
        <f>'Initial Fee Calculation'!$K$8</f>
        <v>390.43897360203096</v>
      </c>
      <c r="V12" s="5"/>
      <c r="W12" s="5"/>
      <c r="X12" s="4">
        <v>0</v>
      </c>
      <c r="Y12" s="104">
        <f t="shared" si="4"/>
        <v>3513.9507624182788</v>
      </c>
      <c r="AA12" s="17">
        <f>'Initial Fee Calculation'!$K$9</f>
        <v>599.46868613550294</v>
      </c>
      <c r="AB12" s="5"/>
      <c r="AC12" s="5"/>
      <c r="AD12" s="4">
        <v>0</v>
      </c>
      <c r="AE12" s="104">
        <f t="shared" si="5"/>
        <v>5395.2181752195265</v>
      </c>
      <c r="AG12" s="17">
        <f>'Initial Fee Calculation'!$K$10</f>
        <v>3709.4325750575626</v>
      </c>
      <c r="AH12" s="5"/>
      <c r="AI12" s="5"/>
      <c r="AJ12" s="4">
        <v>0</v>
      </c>
      <c r="AK12" s="104">
        <f t="shared" si="6"/>
        <v>33384.893175518067</v>
      </c>
      <c r="AM12" s="117">
        <f>'Initial Fee Calculation'!$K$16</f>
        <v>442235.33333333331</v>
      </c>
      <c r="AN12" s="118">
        <v>0</v>
      </c>
      <c r="AO12" s="119">
        <f t="shared" si="7"/>
        <v>3980118.0000000005</v>
      </c>
      <c r="AP12" s="120"/>
    </row>
    <row r="13" spans="1:42" x14ac:dyDescent="0.3">
      <c r="A13" s="2" t="s">
        <v>41</v>
      </c>
      <c r="B13" s="32">
        <f t="shared" si="2"/>
        <v>46023</v>
      </c>
      <c r="C13" s="5">
        <f>'Initial Fee Calculation'!$K$16</f>
        <v>442235.33333333331</v>
      </c>
      <c r="D13" s="5"/>
      <c r="E13" s="5"/>
      <c r="F13" s="4">
        <f t="shared" si="0"/>
        <v>0</v>
      </c>
      <c r="G13" s="18">
        <f t="shared" si="0"/>
        <v>4422353.3333333321</v>
      </c>
      <c r="H13" s="5"/>
      <c r="I13" s="17">
        <f>'Initial Fee Calculation'!$K$6</f>
        <v>435899.79716495838</v>
      </c>
      <c r="J13" s="5"/>
      <c r="K13" s="5"/>
      <c r="L13" s="4">
        <v>0</v>
      </c>
      <c r="M13" s="104">
        <f t="shared" si="1"/>
        <v>4358997.9716495834</v>
      </c>
      <c r="O13" s="17">
        <f>'Initial Fee Calculation'!$K$7</f>
        <v>1636.1959335798558</v>
      </c>
      <c r="P13" s="5"/>
      <c r="Q13" s="5"/>
      <c r="R13" s="4">
        <v>0</v>
      </c>
      <c r="S13" s="104">
        <f t="shared" si="3"/>
        <v>16361.959335798561</v>
      </c>
      <c r="U13" s="17">
        <f>'Initial Fee Calculation'!$K$8</f>
        <v>390.43897360203096</v>
      </c>
      <c r="V13" s="5"/>
      <c r="W13" s="5"/>
      <c r="X13" s="4">
        <v>0</v>
      </c>
      <c r="Y13" s="104">
        <f t="shared" si="4"/>
        <v>3904.38973602031</v>
      </c>
      <c r="AA13" s="17">
        <f>'Initial Fee Calculation'!$K$9</f>
        <v>599.46868613550294</v>
      </c>
      <c r="AB13" s="5"/>
      <c r="AC13" s="5"/>
      <c r="AD13" s="4">
        <v>0</v>
      </c>
      <c r="AE13" s="104">
        <f t="shared" si="5"/>
        <v>5994.6868613550296</v>
      </c>
      <c r="AG13" s="17">
        <f>'Initial Fee Calculation'!$K$10</f>
        <v>3709.4325750575626</v>
      </c>
      <c r="AH13" s="5"/>
      <c r="AI13" s="5"/>
      <c r="AJ13" s="4">
        <v>0</v>
      </c>
      <c r="AK13" s="104">
        <f t="shared" si="6"/>
        <v>37094.325750575634</v>
      </c>
      <c r="AM13" s="117">
        <f>'Initial Fee Calculation'!$K$16</f>
        <v>442235.33333333331</v>
      </c>
      <c r="AN13" s="118">
        <v>0</v>
      </c>
      <c r="AO13" s="119">
        <f t="shared" si="7"/>
        <v>4422353.333333334</v>
      </c>
      <c r="AP13" s="120"/>
    </row>
    <row r="14" spans="1:42" x14ac:dyDescent="0.3">
      <c r="A14" s="2" t="s">
        <v>41</v>
      </c>
      <c r="B14" s="32">
        <f t="shared" si="2"/>
        <v>46054</v>
      </c>
      <c r="C14" s="5">
        <f>'Initial Fee Calculation'!$K$16</f>
        <v>442235.33333333331</v>
      </c>
      <c r="D14" s="5"/>
      <c r="E14" s="4"/>
      <c r="F14" s="4">
        <f t="shared" si="0"/>
        <v>-950000</v>
      </c>
      <c r="G14" s="18">
        <f t="shared" si="0"/>
        <v>3914588.666666666</v>
      </c>
      <c r="H14" s="5"/>
      <c r="I14" s="17">
        <f>'Initial Fee Calculation'!$K$6</f>
        <v>435899.79716495838</v>
      </c>
      <c r="J14" s="5"/>
      <c r="K14" s="4"/>
      <c r="L14" s="4">
        <v>-950000</v>
      </c>
      <c r="M14" s="104">
        <f t="shared" si="1"/>
        <v>3844897.7688145419</v>
      </c>
      <c r="O14" s="17">
        <f>'Initial Fee Calculation'!$K$7</f>
        <v>1636.1959335798558</v>
      </c>
      <c r="P14" s="5"/>
      <c r="Q14" s="4"/>
      <c r="R14" s="4">
        <v>0</v>
      </c>
      <c r="S14" s="104">
        <f t="shared" si="3"/>
        <v>17998.155269378418</v>
      </c>
      <c r="U14" s="17">
        <f>'Initial Fee Calculation'!$K$8</f>
        <v>390.43897360203096</v>
      </c>
      <c r="V14" s="5"/>
      <c r="W14" s="4"/>
      <c r="X14" s="4">
        <v>0</v>
      </c>
      <c r="Y14" s="104">
        <f t="shared" si="4"/>
        <v>4294.8287096223412</v>
      </c>
      <c r="AA14" s="17">
        <f>'Initial Fee Calculation'!$K$9</f>
        <v>599.46868613550294</v>
      </c>
      <c r="AB14" s="5"/>
      <c r="AC14" s="4"/>
      <c r="AD14" s="4">
        <v>0</v>
      </c>
      <c r="AE14" s="104">
        <f t="shared" si="5"/>
        <v>6594.1555474905326</v>
      </c>
      <c r="AG14" s="17">
        <f>'Initial Fee Calculation'!$K$10</f>
        <v>3709.4325750575626</v>
      </c>
      <c r="AH14" s="5"/>
      <c r="AI14" s="4"/>
      <c r="AJ14" s="4">
        <v>0</v>
      </c>
      <c r="AK14" s="104">
        <f t="shared" si="6"/>
        <v>40803.7583256332</v>
      </c>
      <c r="AM14" s="117">
        <f>'Initial Fee Calculation'!$K$16</f>
        <v>442235.33333333331</v>
      </c>
      <c r="AN14" s="118">
        <f>-Input!$C$24</f>
        <v>-950000</v>
      </c>
      <c r="AO14" s="119">
        <f t="shared" si="7"/>
        <v>3914588.666666667</v>
      </c>
      <c r="AP14" s="120"/>
    </row>
    <row r="15" spans="1:42" x14ac:dyDescent="0.3">
      <c r="A15" s="2" t="s">
        <v>41</v>
      </c>
      <c r="B15" s="72">
        <f t="shared" si="2"/>
        <v>46082</v>
      </c>
      <c r="C15" s="10">
        <f>'Initial Fee Calculation'!$K$16</f>
        <v>442235.33333333331</v>
      </c>
      <c r="D15" s="10"/>
      <c r="E15" s="9"/>
      <c r="F15" s="9">
        <f t="shared" si="0"/>
        <v>-950000</v>
      </c>
      <c r="G15" s="73">
        <f t="shared" si="0"/>
        <v>3406823.9999999995</v>
      </c>
      <c r="H15" s="5"/>
      <c r="I15" s="74">
        <f>'Initial Fee Calculation'!$K$6</f>
        <v>435899.79716495838</v>
      </c>
      <c r="J15" s="10"/>
      <c r="K15" s="9"/>
      <c r="L15" s="9">
        <v>-950000</v>
      </c>
      <c r="M15" s="105">
        <f t="shared" si="1"/>
        <v>3330797.5659795003</v>
      </c>
      <c r="O15" s="74">
        <f>'Initial Fee Calculation'!$K$7</f>
        <v>1636.1959335798558</v>
      </c>
      <c r="P15" s="10"/>
      <c r="Q15" s="9"/>
      <c r="R15" s="9">
        <v>0</v>
      </c>
      <c r="S15" s="105">
        <f t="shared" si="3"/>
        <v>19634.351202958274</v>
      </c>
      <c r="U15" s="74">
        <f>'Initial Fee Calculation'!$K$8</f>
        <v>390.43897360203096</v>
      </c>
      <c r="V15" s="10"/>
      <c r="W15" s="9"/>
      <c r="X15" s="9">
        <v>0</v>
      </c>
      <c r="Y15" s="105">
        <f t="shared" si="4"/>
        <v>4685.2676832243724</v>
      </c>
      <c r="AA15" s="74">
        <f>'Initial Fee Calculation'!$K$9</f>
        <v>599.46868613550294</v>
      </c>
      <c r="AB15" s="10"/>
      <c r="AC15" s="9"/>
      <c r="AD15" s="9">
        <v>0</v>
      </c>
      <c r="AE15" s="105">
        <f t="shared" si="5"/>
        <v>7193.6242336260357</v>
      </c>
      <c r="AG15" s="74">
        <f>'Initial Fee Calculation'!$K$10</f>
        <v>3709.4325750575626</v>
      </c>
      <c r="AH15" s="10"/>
      <c r="AI15" s="9"/>
      <c r="AJ15" s="9">
        <v>0</v>
      </c>
      <c r="AK15" s="105">
        <f t="shared" si="6"/>
        <v>44513.190900690766</v>
      </c>
      <c r="AM15" s="117">
        <f>'Initial Fee Calculation'!$K$16</f>
        <v>442235.33333333331</v>
      </c>
      <c r="AN15" s="118">
        <f>-Input!$C$24</f>
        <v>-950000</v>
      </c>
      <c r="AO15" s="119">
        <f t="shared" si="7"/>
        <v>3406824</v>
      </c>
      <c r="AP15" s="120"/>
    </row>
    <row r="16" spans="1:42" x14ac:dyDescent="0.3">
      <c r="A16" s="2" t="s">
        <v>26</v>
      </c>
      <c r="B16" s="32">
        <f t="shared" si="2"/>
        <v>46113</v>
      </c>
      <c r="C16" s="5">
        <f>'Initial Fee Calculation'!$L$16</f>
        <v>1237510.0833333333</v>
      </c>
      <c r="D16" s="5"/>
      <c r="E16" s="4"/>
      <c r="F16" s="4">
        <f t="shared" si="0"/>
        <v>-950000</v>
      </c>
      <c r="G16" s="18">
        <f t="shared" si="0"/>
        <v>3694334.0833333326</v>
      </c>
      <c r="H16" s="5"/>
      <c r="I16" s="17">
        <f>'Initial Fee Calculation'!$L$6</f>
        <v>1219600.1806553374</v>
      </c>
      <c r="J16" s="5"/>
      <c r="K16" s="4"/>
      <c r="L16" s="4">
        <v>-950000</v>
      </c>
      <c r="M16" s="104">
        <f t="shared" si="1"/>
        <v>3600397.7466348377</v>
      </c>
      <c r="O16" s="17">
        <f>'Initial Fee Calculation'!$L$7</f>
        <v>4625.3559531117244</v>
      </c>
      <c r="P16" s="5"/>
      <c r="Q16" s="4"/>
      <c r="R16" s="4">
        <v>0</v>
      </c>
      <c r="S16" s="104">
        <f t="shared" si="3"/>
        <v>24259.707156069999</v>
      </c>
      <c r="U16" s="17">
        <f>'Initial Fee Calculation'!$L$8</f>
        <v>1103.7304236087359</v>
      </c>
      <c r="V16" s="5"/>
      <c r="W16" s="4"/>
      <c r="X16" s="4">
        <v>0</v>
      </c>
      <c r="Y16" s="104">
        <f t="shared" si="4"/>
        <v>5788.9981068331081</v>
      </c>
      <c r="AA16" s="17">
        <f>'Initial Fee Calculation'!$L$9</f>
        <v>1694.6357090952797</v>
      </c>
      <c r="AB16" s="5"/>
      <c r="AC16" s="4"/>
      <c r="AD16" s="4">
        <v>0</v>
      </c>
      <c r="AE16" s="104">
        <f t="shared" si="5"/>
        <v>8888.2599427213154</v>
      </c>
      <c r="AG16" s="17">
        <f>'Initial Fee Calculation'!$L$10</f>
        <v>10486.180592180079</v>
      </c>
      <c r="AH16" s="5"/>
      <c r="AI16" s="4"/>
      <c r="AJ16" s="4">
        <v>0</v>
      </c>
      <c r="AK16" s="104">
        <f t="shared" si="6"/>
        <v>54999.371492870843</v>
      </c>
      <c r="AM16" s="117">
        <f>'Initial Fee Calculation'!$L$16</f>
        <v>1237510.0833333333</v>
      </c>
      <c r="AN16" s="118">
        <f>-Input!$C$24</f>
        <v>-950000</v>
      </c>
      <c r="AO16" s="119">
        <f t="shared" si="7"/>
        <v>3694334.083333333</v>
      </c>
      <c r="AP16" s="120"/>
    </row>
    <row r="17" spans="1:42" x14ac:dyDescent="0.3">
      <c r="A17" s="2" t="s">
        <v>41</v>
      </c>
      <c r="B17" s="32">
        <f t="shared" si="2"/>
        <v>46143</v>
      </c>
      <c r="C17" s="5">
        <f>'Initial Fee Calculation'!$L$16</f>
        <v>1237510.0833333333</v>
      </c>
      <c r="D17" s="5"/>
      <c r="E17" s="4"/>
      <c r="F17" s="4">
        <f t="shared" si="0"/>
        <v>-950000</v>
      </c>
      <c r="G17" s="18">
        <f t="shared" si="0"/>
        <v>3981844.166666666</v>
      </c>
      <c r="H17" s="5"/>
      <c r="I17" s="17">
        <f>'Initial Fee Calculation'!$L$6</f>
        <v>1219600.1806553374</v>
      </c>
      <c r="J17" s="5"/>
      <c r="K17" s="4"/>
      <c r="L17" s="4">
        <v>-950000</v>
      </c>
      <c r="M17" s="104">
        <f t="shared" si="1"/>
        <v>3869997.9272901751</v>
      </c>
      <c r="O17" s="17">
        <f>'Initial Fee Calculation'!$L$7</f>
        <v>4625.3559531117244</v>
      </c>
      <c r="P17" s="5"/>
      <c r="Q17" s="4"/>
      <c r="R17" s="4">
        <v>0</v>
      </c>
      <c r="S17" s="104">
        <f t="shared" si="3"/>
        <v>28885.063109181723</v>
      </c>
      <c r="U17" s="17">
        <f>'Initial Fee Calculation'!$L$8</f>
        <v>1103.7304236087359</v>
      </c>
      <c r="V17" s="5"/>
      <c r="W17" s="4"/>
      <c r="X17" s="4">
        <v>0</v>
      </c>
      <c r="Y17" s="104">
        <f t="shared" si="4"/>
        <v>6892.7285304418438</v>
      </c>
      <c r="AA17" s="17">
        <f>'Initial Fee Calculation'!$L$9</f>
        <v>1694.6357090952797</v>
      </c>
      <c r="AB17" s="5"/>
      <c r="AC17" s="4"/>
      <c r="AD17" s="4">
        <v>0</v>
      </c>
      <c r="AE17" s="104">
        <f t="shared" si="5"/>
        <v>10582.895651816594</v>
      </c>
      <c r="AG17" s="17">
        <f>'Initial Fee Calculation'!$L$10</f>
        <v>10486.180592180079</v>
      </c>
      <c r="AH17" s="5"/>
      <c r="AI17" s="4"/>
      <c r="AJ17" s="4">
        <v>0</v>
      </c>
      <c r="AK17" s="104">
        <f t="shared" si="6"/>
        <v>65485.55208505092</v>
      </c>
      <c r="AM17" s="117">
        <f>'Initial Fee Calculation'!$L$16</f>
        <v>1237510.0833333333</v>
      </c>
      <c r="AN17" s="118">
        <f>-Input!$C$24</f>
        <v>-950000</v>
      </c>
      <c r="AO17" s="119">
        <f t="shared" si="7"/>
        <v>3981844.166666666</v>
      </c>
      <c r="AP17" s="120"/>
    </row>
    <row r="18" spans="1:42" x14ac:dyDescent="0.3">
      <c r="A18" s="2" t="s">
        <v>41</v>
      </c>
      <c r="B18" s="32">
        <f t="shared" si="2"/>
        <v>46174</v>
      </c>
      <c r="C18" s="5">
        <f>'Initial Fee Calculation'!$L$16</f>
        <v>1237510.0833333333</v>
      </c>
      <c r="D18" s="5"/>
      <c r="E18" s="4"/>
      <c r="F18" s="4">
        <f t="shared" si="0"/>
        <v>-950000</v>
      </c>
      <c r="G18" s="18">
        <f t="shared" si="0"/>
        <v>4269354.2499999991</v>
      </c>
      <c r="H18" s="5"/>
      <c r="I18" s="17">
        <f>'Initial Fee Calculation'!$L$6</f>
        <v>1219600.1806553374</v>
      </c>
      <c r="J18" s="5"/>
      <c r="K18" s="4"/>
      <c r="L18" s="4">
        <v>-950000</v>
      </c>
      <c r="M18" s="104">
        <f t="shared" si="1"/>
        <v>4139598.1079455125</v>
      </c>
      <c r="O18" s="17">
        <f>'Initial Fee Calculation'!$L$7</f>
        <v>4625.3559531117244</v>
      </c>
      <c r="P18" s="5"/>
      <c r="Q18" s="4"/>
      <c r="R18" s="4">
        <v>0</v>
      </c>
      <c r="S18" s="104">
        <f t="shared" si="3"/>
        <v>33510.419062293447</v>
      </c>
      <c r="U18" s="17">
        <f>'Initial Fee Calculation'!$L$8</f>
        <v>1103.7304236087359</v>
      </c>
      <c r="V18" s="5"/>
      <c r="W18" s="4"/>
      <c r="X18" s="4">
        <v>0</v>
      </c>
      <c r="Y18" s="104">
        <f t="shared" si="4"/>
        <v>7996.4589540505795</v>
      </c>
      <c r="AA18" s="17">
        <f>'Initial Fee Calculation'!$L$9</f>
        <v>1694.6357090952797</v>
      </c>
      <c r="AB18" s="5"/>
      <c r="AC18" s="4"/>
      <c r="AD18" s="4">
        <v>0</v>
      </c>
      <c r="AE18" s="104">
        <f t="shared" si="5"/>
        <v>12277.531360911875</v>
      </c>
      <c r="AG18" s="17">
        <f>'Initial Fee Calculation'!$L$10</f>
        <v>10486.180592180079</v>
      </c>
      <c r="AH18" s="5"/>
      <c r="AI18" s="4"/>
      <c r="AJ18" s="4">
        <v>0</v>
      </c>
      <c r="AK18" s="104">
        <f t="shared" si="6"/>
        <v>75971.732677231004</v>
      </c>
      <c r="AM18" s="117">
        <f>'Initial Fee Calculation'!$L$16</f>
        <v>1237510.0833333333</v>
      </c>
      <c r="AN18" s="118">
        <f>-Input!$C$24</f>
        <v>-950000</v>
      </c>
      <c r="AO18" s="119">
        <f t="shared" si="7"/>
        <v>4269354.2499999991</v>
      </c>
      <c r="AP18" s="120"/>
    </row>
    <row r="19" spans="1:42" x14ac:dyDescent="0.3">
      <c r="A19" s="2" t="s">
        <v>41</v>
      </c>
      <c r="B19" s="32">
        <f t="shared" si="2"/>
        <v>46204</v>
      </c>
      <c r="C19" s="5">
        <f>'Initial Fee Calculation'!$L$16</f>
        <v>1237510.0833333333</v>
      </c>
      <c r="D19" s="5"/>
      <c r="E19" s="4"/>
      <c r="F19" s="4">
        <f t="shared" si="0"/>
        <v>-950000</v>
      </c>
      <c r="G19" s="18">
        <f t="shared" si="0"/>
        <v>4556864.3333333321</v>
      </c>
      <c r="H19" s="5"/>
      <c r="I19" s="17">
        <f>'Initial Fee Calculation'!$L$6</f>
        <v>1219600.1806553374</v>
      </c>
      <c r="J19" s="5"/>
      <c r="K19" s="4"/>
      <c r="L19" s="4">
        <v>-950000</v>
      </c>
      <c r="M19" s="104">
        <f t="shared" si="1"/>
        <v>4409198.2886008499</v>
      </c>
      <c r="O19" s="17">
        <f>'Initial Fee Calculation'!$L$7</f>
        <v>4625.3559531117244</v>
      </c>
      <c r="P19" s="5"/>
      <c r="Q19" s="4"/>
      <c r="R19" s="4">
        <v>0</v>
      </c>
      <c r="S19" s="104">
        <f t="shared" si="3"/>
        <v>38135.775015405176</v>
      </c>
      <c r="U19" s="17">
        <f>'Initial Fee Calculation'!$L$8</f>
        <v>1103.7304236087359</v>
      </c>
      <c r="V19" s="5"/>
      <c r="W19" s="4"/>
      <c r="X19" s="4">
        <v>0</v>
      </c>
      <c r="Y19" s="104">
        <f t="shared" si="4"/>
        <v>9100.1893776593151</v>
      </c>
      <c r="AA19" s="17">
        <f>'Initial Fee Calculation'!$L$9</f>
        <v>1694.6357090952797</v>
      </c>
      <c r="AB19" s="5"/>
      <c r="AC19" s="4"/>
      <c r="AD19" s="4">
        <v>0</v>
      </c>
      <c r="AE19" s="104">
        <f t="shared" si="5"/>
        <v>13972.167070007155</v>
      </c>
      <c r="AG19" s="17">
        <f>'Initial Fee Calculation'!$L$10</f>
        <v>10486.180592180079</v>
      </c>
      <c r="AH19" s="5"/>
      <c r="AI19" s="4"/>
      <c r="AJ19" s="4">
        <v>0</v>
      </c>
      <c r="AK19" s="104">
        <f t="shared" si="6"/>
        <v>86457.913269411089</v>
      </c>
      <c r="AM19" s="117">
        <f>'Initial Fee Calculation'!$L$16</f>
        <v>1237510.0833333333</v>
      </c>
      <c r="AN19" s="118">
        <f>-Input!$C$24</f>
        <v>-950000</v>
      </c>
      <c r="AO19" s="119">
        <f t="shared" si="7"/>
        <v>4556864.3333333321</v>
      </c>
      <c r="AP19" s="120"/>
    </row>
    <row r="20" spans="1:42" x14ac:dyDescent="0.3">
      <c r="A20" s="2" t="s">
        <v>41</v>
      </c>
      <c r="B20" s="32">
        <f t="shared" si="2"/>
        <v>46235</v>
      </c>
      <c r="C20" s="5">
        <f>'Initial Fee Calculation'!$L$16</f>
        <v>1237510.0833333333</v>
      </c>
      <c r="D20" s="5"/>
      <c r="E20" s="4"/>
      <c r="F20" s="4">
        <f t="shared" si="0"/>
        <v>-950000</v>
      </c>
      <c r="G20" s="18">
        <f t="shared" si="0"/>
        <v>4844374.4166666651</v>
      </c>
      <c r="H20" s="5"/>
      <c r="I20" s="17">
        <f>'Initial Fee Calculation'!$L$6</f>
        <v>1219600.1806553374</v>
      </c>
      <c r="J20" s="5"/>
      <c r="K20" s="4"/>
      <c r="L20" s="4">
        <v>-950000</v>
      </c>
      <c r="M20" s="104">
        <f t="shared" si="1"/>
        <v>4678798.4692561869</v>
      </c>
      <c r="O20" s="17">
        <f>'Initial Fee Calculation'!$L$7</f>
        <v>4625.3559531117244</v>
      </c>
      <c r="P20" s="5"/>
      <c r="Q20" s="4"/>
      <c r="R20" s="4">
        <v>0</v>
      </c>
      <c r="S20" s="104">
        <f t="shared" si="3"/>
        <v>42761.130968516896</v>
      </c>
      <c r="U20" s="17">
        <f>'Initial Fee Calculation'!$L$8</f>
        <v>1103.7304236087359</v>
      </c>
      <c r="V20" s="5"/>
      <c r="W20" s="4"/>
      <c r="X20" s="4">
        <v>0</v>
      </c>
      <c r="Y20" s="104">
        <f t="shared" si="4"/>
        <v>10203.919801268052</v>
      </c>
      <c r="AA20" s="17">
        <f>'Initial Fee Calculation'!$L$9</f>
        <v>1694.6357090952797</v>
      </c>
      <c r="AB20" s="5"/>
      <c r="AC20" s="4"/>
      <c r="AD20" s="4">
        <v>0</v>
      </c>
      <c r="AE20" s="104">
        <f t="shared" si="5"/>
        <v>15666.802779102436</v>
      </c>
      <c r="AG20" s="17">
        <f>'Initial Fee Calculation'!$L$10</f>
        <v>10486.180592180079</v>
      </c>
      <c r="AH20" s="5"/>
      <c r="AI20" s="4"/>
      <c r="AJ20" s="4">
        <v>0</v>
      </c>
      <c r="AK20" s="104">
        <f t="shared" si="6"/>
        <v>96944.093861591173</v>
      </c>
      <c r="AM20" s="117">
        <f>'Initial Fee Calculation'!$L$16</f>
        <v>1237510.0833333333</v>
      </c>
      <c r="AN20" s="118">
        <f>-Input!$C$24</f>
        <v>-950000</v>
      </c>
      <c r="AO20" s="119">
        <f t="shared" si="7"/>
        <v>4844374.4166666651</v>
      </c>
      <c r="AP20" s="120"/>
    </row>
    <row r="21" spans="1:42" x14ac:dyDescent="0.3">
      <c r="A21" s="2" t="s">
        <v>41</v>
      </c>
      <c r="B21" s="32">
        <f t="shared" si="2"/>
        <v>46266</v>
      </c>
      <c r="C21" s="5">
        <f>'Initial Fee Calculation'!$L$16</f>
        <v>1237510.0833333333</v>
      </c>
      <c r="D21" s="5"/>
      <c r="E21" s="4"/>
      <c r="F21" s="4">
        <f t="shared" si="0"/>
        <v>-950000</v>
      </c>
      <c r="G21" s="18">
        <f t="shared" si="0"/>
        <v>5131884.4999999991</v>
      </c>
      <c r="H21" s="5"/>
      <c r="I21" s="17">
        <f>'Initial Fee Calculation'!$L$6</f>
        <v>1219600.1806553374</v>
      </c>
      <c r="J21" s="5"/>
      <c r="K21" s="4"/>
      <c r="L21" s="4">
        <v>-950000</v>
      </c>
      <c r="M21" s="104">
        <f t="shared" si="1"/>
        <v>4948398.6499115247</v>
      </c>
      <c r="O21" s="17">
        <f>'Initial Fee Calculation'!$L$7</f>
        <v>4625.3559531117244</v>
      </c>
      <c r="P21" s="5"/>
      <c r="Q21" s="4"/>
      <c r="R21" s="4">
        <v>0</v>
      </c>
      <c r="S21" s="104">
        <f t="shared" si="3"/>
        <v>47386.486921628617</v>
      </c>
      <c r="U21" s="17">
        <f>'Initial Fee Calculation'!$L$8</f>
        <v>1103.7304236087359</v>
      </c>
      <c r="V21" s="5"/>
      <c r="W21" s="4"/>
      <c r="X21" s="4">
        <v>0</v>
      </c>
      <c r="Y21" s="104">
        <f t="shared" si="4"/>
        <v>11307.650224876788</v>
      </c>
      <c r="AA21" s="17">
        <f>'Initial Fee Calculation'!$L$9</f>
        <v>1694.6357090952797</v>
      </c>
      <c r="AB21" s="5"/>
      <c r="AC21" s="4"/>
      <c r="AD21" s="4">
        <v>0</v>
      </c>
      <c r="AE21" s="104">
        <f t="shared" si="5"/>
        <v>17361.438488197717</v>
      </c>
      <c r="AG21" s="17">
        <f>'Initial Fee Calculation'!$L$10</f>
        <v>10486.180592180079</v>
      </c>
      <c r="AH21" s="5"/>
      <c r="AI21" s="4"/>
      <c r="AJ21" s="4">
        <v>0</v>
      </c>
      <c r="AK21" s="104">
        <f t="shared" si="6"/>
        <v>107430.27445377126</v>
      </c>
      <c r="AM21" s="117">
        <f>'Initial Fee Calculation'!$L$16</f>
        <v>1237510.0833333333</v>
      </c>
      <c r="AN21" s="118">
        <f>-Input!$C$24</f>
        <v>-950000</v>
      </c>
      <c r="AO21" s="119">
        <f t="shared" si="7"/>
        <v>5131884.4999999981</v>
      </c>
      <c r="AP21" s="120"/>
    </row>
    <row r="22" spans="1:42" x14ac:dyDescent="0.3">
      <c r="A22" s="2" t="s">
        <v>41</v>
      </c>
      <c r="B22" s="32">
        <f t="shared" si="2"/>
        <v>46296</v>
      </c>
      <c r="C22" s="5">
        <f>'Initial Fee Calculation'!$L$16</f>
        <v>1237510.0833333333</v>
      </c>
      <c r="D22" s="5"/>
      <c r="E22" s="4"/>
      <c r="F22" s="4">
        <f t="shared" si="0"/>
        <v>-950000</v>
      </c>
      <c r="G22" s="18">
        <f t="shared" si="0"/>
        <v>5419394.583333333</v>
      </c>
      <c r="H22" s="5"/>
      <c r="I22" s="17">
        <f>'Initial Fee Calculation'!$L$6</f>
        <v>1219600.1806553374</v>
      </c>
      <c r="J22" s="5"/>
      <c r="K22" s="4"/>
      <c r="L22" s="4">
        <v>-950000</v>
      </c>
      <c r="M22" s="104">
        <f t="shared" si="1"/>
        <v>5217998.8305668626</v>
      </c>
      <c r="O22" s="17">
        <f>'Initial Fee Calculation'!$L$7</f>
        <v>4625.3559531117244</v>
      </c>
      <c r="P22" s="5"/>
      <c r="Q22" s="4"/>
      <c r="R22" s="4">
        <v>0</v>
      </c>
      <c r="S22" s="104">
        <f t="shared" si="3"/>
        <v>52011.842874740338</v>
      </c>
      <c r="U22" s="17">
        <f>'Initial Fee Calculation'!$L$8</f>
        <v>1103.7304236087359</v>
      </c>
      <c r="V22" s="5"/>
      <c r="W22" s="4"/>
      <c r="X22" s="4">
        <v>0</v>
      </c>
      <c r="Y22" s="104">
        <f t="shared" si="4"/>
        <v>12411.380648485525</v>
      </c>
      <c r="AA22" s="17">
        <f>'Initial Fee Calculation'!$L$9</f>
        <v>1694.6357090952797</v>
      </c>
      <c r="AB22" s="5"/>
      <c r="AC22" s="4"/>
      <c r="AD22" s="4">
        <v>0</v>
      </c>
      <c r="AE22" s="104">
        <f t="shared" si="5"/>
        <v>19056.074197292997</v>
      </c>
      <c r="AG22" s="17">
        <f>'Initial Fee Calculation'!$L$10</f>
        <v>10486.180592180079</v>
      </c>
      <c r="AH22" s="5"/>
      <c r="AI22" s="4"/>
      <c r="AJ22" s="4">
        <v>0</v>
      </c>
      <c r="AK22" s="104">
        <f t="shared" si="6"/>
        <v>117916.45504595134</v>
      </c>
      <c r="AM22" s="117">
        <f>'Initial Fee Calculation'!$L$16</f>
        <v>1237510.0833333333</v>
      </c>
      <c r="AN22" s="118">
        <f>-Input!$C$24</f>
        <v>-950000</v>
      </c>
      <c r="AO22" s="119">
        <f t="shared" si="7"/>
        <v>5419394.5833333312</v>
      </c>
      <c r="AP22" s="120"/>
    </row>
    <row r="23" spans="1:42" x14ac:dyDescent="0.3">
      <c r="A23" s="2" t="s">
        <v>41</v>
      </c>
      <c r="B23" s="32">
        <f t="shared" si="2"/>
        <v>46327</v>
      </c>
      <c r="C23" s="5">
        <f>'Initial Fee Calculation'!$L$16</f>
        <v>1237510.0833333333</v>
      </c>
      <c r="D23" s="5"/>
      <c r="E23" s="4"/>
      <c r="F23" s="4">
        <f t="shared" si="0"/>
        <v>-950000</v>
      </c>
      <c r="G23" s="18">
        <f t="shared" si="0"/>
        <v>5706904.666666667</v>
      </c>
      <c r="H23" s="5"/>
      <c r="I23" s="17">
        <f>'Initial Fee Calculation'!$L$6</f>
        <v>1219600.1806553374</v>
      </c>
      <c r="J23" s="5"/>
      <c r="K23" s="4"/>
      <c r="L23" s="4">
        <v>-950000</v>
      </c>
      <c r="M23" s="104">
        <f>I23+L23+M22+K23</f>
        <v>5487599.0112222005</v>
      </c>
      <c r="O23" s="17">
        <f>'Initial Fee Calculation'!$L$7</f>
        <v>4625.3559531117244</v>
      </c>
      <c r="P23" s="5"/>
      <c r="Q23" s="4"/>
      <c r="R23" s="4">
        <v>0</v>
      </c>
      <c r="S23" s="104">
        <f t="shared" si="3"/>
        <v>56637.198827852058</v>
      </c>
      <c r="U23" s="17">
        <f>'Initial Fee Calculation'!$L$8</f>
        <v>1103.7304236087359</v>
      </c>
      <c r="V23" s="5"/>
      <c r="W23" s="4"/>
      <c r="X23" s="4">
        <v>0</v>
      </c>
      <c r="Y23" s="104">
        <f t="shared" si="4"/>
        <v>13515.111072094262</v>
      </c>
      <c r="AA23" s="17">
        <f>'Initial Fee Calculation'!$L$9</f>
        <v>1694.6357090952797</v>
      </c>
      <c r="AB23" s="5"/>
      <c r="AC23" s="4"/>
      <c r="AD23" s="4">
        <v>0</v>
      </c>
      <c r="AE23" s="104">
        <f t="shared" si="5"/>
        <v>20750.709906388278</v>
      </c>
      <c r="AG23" s="17">
        <f>'Initial Fee Calculation'!$L$10</f>
        <v>10486.180592180079</v>
      </c>
      <c r="AH23" s="5"/>
      <c r="AI23" s="4"/>
      <c r="AJ23" s="4">
        <v>0</v>
      </c>
      <c r="AK23" s="104">
        <f t="shared" si="6"/>
        <v>128402.63563813143</v>
      </c>
      <c r="AM23" s="117">
        <f>'Initial Fee Calculation'!$L$16</f>
        <v>1237510.0833333333</v>
      </c>
      <c r="AN23" s="118">
        <f>-Input!$C$24</f>
        <v>-950000</v>
      </c>
      <c r="AO23" s="119">
        <f t="shared" si="7"/>
        <v>5706904.6666666642</v>
      </c>
      <c r="AP23" s="120"/>
    </row>
    <row r="24" spans="1:42" x14ac:dyDescent="0.3">
      <c r="A24" s="2" t="s">
        <v>10</v>
      </c>
      <c r="B24" s="32">
        <f t="shared" si="2"/>
        <v>46357</v>
      </c>
      <c r="C24" s="5">
        <f>'Initial Fee Calculation'!$L$16</f>
        <v>1237510.0833333333</v>
      </c>
      <c r="D24" s="5"/>
      <c r="E24" s="4">
        <f t="shared" ref="D24:E39" si="8">K24+Q24+W24+AC24+AI24</f>
        <v>0</v>
      </c>
      <c r="F24" s="4">
        <f t="shared" si="0"/>
        <v>-2664236.2499999995</v>
      </c>
      <c r="G24" s="18">
        <f t="shared" si="0"/>
        <v>4280178.5</v>
      </c>
      <c r="H24" s="5"/>
      <c r="I24" s="17">
        <f>'Initial Fee Calculation'!$L$6</f>
        <v>1219600.1806553374</v>
      </c>
      <c r="J24" s="4"/>
      <c r="K24" s="4">
        <f>-IFERROR(IF((DATEDIF($B$24,$B24,"M"))&lt;'Fee Recovery Calculation'!$J$4,'Fee Recovery Calculation'!$N$4,0)/('Fee Recovery Calculation'!$J$4),0)</f>
        <v>0</v>
      </c>
      <c r="L24" s="4">
        <f>-IF((DATEDIF($B$24,$B24,"M"))&lt;'Fee Recovery Calculation'!$J$4,'Fee Recovery Calculation'!$P$4,0)</f>
        <v>-2591499.9334608875</v>
      </c>
      <c r="M24" s="104">
        <f>I24+L24+M23+J24</f>
        <v>4115699.2584166504</v>
      </c>
      <c r="O24" s="17">
        <f>'Initial Fee Calculation'!$L$7</f>
        <v>4625.3559531117244</v>
      </c>
      <c r="P24" s="4"/>
      <c r="Q24" s="4">
        <f>-IFERROR(IF((DATEDIF($B$24,$B24,"M"))&lt;'Fee Recovery Calculation'!$J$4,'Fee Recovery Calculation'!$N$5,0)/('Fee Recovery Calculation'!$J$5),0)</f>
        <v>0</v>
      </c>
      <c r="R24" s="4">
        <f>-IF((DATEDIF($B$24,$B24,"M"))&lt;'Fee Recovery Calculation'!$J$4,'Fee Recovery Calculation'!$P$5,0)</f>
        <v>-18784.655660074743</v>
      </c>
      <c r="S24" s="104">
        <f>O24+R24+S23+P24</f>
        <v>42477.899120889037</v>
      </c>
      <c r="U24" s="17">
        <f>'Initial Fee Calculation'!$L$8</f>
        <v>1103.7304236087359</v>
      </c>
      <c r="V24" s="5"/>
      <c r="W24" s="4">
        <f>-IFERROR(IF((DATEDIF($B$24,$B24,"M"))&lt;'Fee Recovery Calculation'!$J$4,'Fee Recovery Calculation'!$N$6,0)/('Fee Recovery Calculation'!$J$6),0)</f>
        <v>0</v>
      </c>
      <c r="X24" s="4">
        <f>-IF((DATEDIF($B$24,$B24,"M"))&lt;'Fee Recovery Calculation'!$J$4,'Fee Recovery Calculation'!$P$6,0)</f>
        <v>-4482.5081916323006</v>
      </c>
      <c r="Y24" s="104">
        <f>U24+X24+Y23+V24</f>
        <v>10136.333304070697</v>
      </c>
      <c r="AA24" s="17">
        <f>'Initial Fee Calculation'!$L$9</f>
        <v>1694.6357090952797</v>
      </c>
      <c r="AB24" s="5"/>
      <c r="AC24" s="4">
        <f>-IFERROR(IF((DATEDIF($B$24,$B24,"M"))&lt;'Fee Recovery Calculation'!$J$4,'Fee Recovery Calculation'!$N$7,0)/('Fee Recovery Calculation'!$J$7),0)</f>
        <v>0</v>
      </c>
      <c r="AD24" s="4">
        <f>-IF((DATEDIF($B$24,$B24,"M"))&lt;'Fee Recovery Calculation'!$J$4,'Fee Recovery Calculation'!$P$7,0)</f>
        <v>-6882.3131856923483</v>
      </c>
      <c r="AE24" s="104">
        <f>AA24+AD24+AE23+AB24</f>
        <v>15563.032429791208</v>
      </c>
      <c r="AG24" s="17">
        <f>'Initial Fee Calculation'!$L$10</f>
        <v>10486.180592180079</v>
      </c>
      <c r="AH24" s="5"/>
      <c r="AI24" s="4">
        <f>-IFERROR(IF((DATEDIF($B$24,$B24,"M"))&lt;'Fee Recovery Calculation'!$J$4,'Fee Recovery Calculation'!$N$8,0)/('Fee Recovery Calculation'!$J$8),0)</f>
        <v>0</v>
      </c>
      <c r="AJ24" s="4">
        <f>-IF((DATEDIF($B$24,$B24,"M"))&lt;'Fee Recovery Calculation'!$J$4,'Fee Recovery Calculation'!$P$8,0)</f>
        <v>-42586.839501712922</v>
      </c>
      <c r="AK24" s="104">
        <f>AG24+AJ24+AK23+AH24</f>
        <v>96301.976728598587</v>
      </c>
      <c r="AM24" s="117">
        <f>'Initial Fee Calculation'!$L$16</f>
        <v>1237510.0833333333</v>
      </c>
      <c r="AN24" s="118">
        <f>-IF((DATEDIF($B$24,$B24,"M"))&lt;'Fee Recovery Calculation'!$J$4,'Fee Recovery Calculation'!$K$13,0)</f>
        <v>-2664236.2499999995</v>
      </c>
      <c r="AO24" s="119">
        <f t="shared" si="7"/>
        <v>4280178.4999999981</v>
      </c>
      <c r="AP24" s="120"/>
    </row>
    <row r="25" spans="1:42" x14ac:dyDescent="0.3">
      <c r="A25" s="2" t="s">
        <v>41</v>
      </c>
      <c r="B25" s="32">
        <f t="shared" si="2"/>
        <v>46388</v>
      </c>
      <c r="C25" s="5">
        <f>'Initial Fee Calculation'!$L$16</f>
        <v>1237510.0833333333</v>
      </c>
      <c r="D25" s="5"/>
      <c r="E25" s="4">
        <f t="shared" si="8"/>
        <v>0</v>
      </c>
      <c r="F25" s="4">
        <f>L25+R25+X25+AD25+AJ25</f>
        <v>-2664236.2499999995</v>
      </c>
      <c r="G25" s="18">
        <f t="shared" si="0"/>
        <v>2853452.3333333335</v>
      </c>
      <c r="H25" s="5"/>
      <c r="I25" s="17">
        <f>'Initial Fee Calculation'!$L$6</f>
        <v>1219600.1806553374</v>
      </c>
      <c r="J25" s="4"/>
      <c r="K25" s="4">
        <f>-IFERROR(IF((DATEDIF($B$24,$B25,"M"))&lt;'Fee Recovery Calculation'!$J$4,'Fee Recovery Calculation'!$N$4,0)/('Fee Recovery Calculation'!$J$4),0)</f>
        <v>0</v>
      </c>
      <c r="L25" s="4">
        <f>-IF((DATEDIF($B$24,$B25,"M"))&lt;'Fee Recovery Calculation'!$J$4,'Fee Recovery Calculation'!$P$4,0)</f>
        <v>-2591499.9334608875</v>
      </c>
      <c r="M25" s="104">
        <f>I25+L25+M24+J25</f>
        <v>2743799.5056111002</v>
      </c>
      <c r="O25" s="17">
        <f>'Initial Fee Calculation'!$L$7</f>
        <v>4625.3559531117244</v>
      </c>
      <c r="P25" s="4"/>
      <c r="Q25" s="4">
        <f>-IFERROR(IF((DATEDIF($B$24,$B25,"M"))&lt;'Fee Recovery Calculation'!$J$4,'Fee Recovery Calculation'!$N$5,0)/('Fee Recovery Calculation'!$J$5),0)</f>
        <v>0</v>
      </c>
      <c r="R25" s="4">
        <f>-IF((DATEDIF($B$24,$B25,"M"))&lt;'Fee Recovery Calculation'!$J$4,'Fee Recovery Calculation'!$P$5,0)</f>
        <v>-18784.655660074743</v>
      </c>
      <c r="S25" s="104">
        <f t="shared" ref="S25:S39" si="9">O25+R25+S24+P25</f>
        <v>28318.599413926018</v>
      </c>
      <c r="U25" s="17">
        <f>'Initial Fee Calculation'!$L$8</f>
        <v>1103.7304236087359</v>
      </c>
      <c r="V25" s="5"/>
      <c r="W25" s="4">
        <f>-IFERROR(IF((DATEDIF($B$24,$B25,"M"))&lt;'Fee Recovery Calculation'!$J$4,'Fee Recovery Calculation'!$N$6,0)/('Fee Recovery Calculation'!$J$6),0)</f>
        <v>0</v>
      </c>
      <c r="X25" s="4">
        <f>-IF((DATEDIF($B$24,$B25,"M"))&lt;'Fee Recovery Calculation'!$J$4,'Fee Recovery Calculation'!$P$6,0)</f>
        <v>-4482.5081916323006</v>
      </c>
      <c r="Y25" s="104">
        <f t="shared" ref="Y25:Y39" si="10">U25+X25+Y24+V25</f>
        <v>6757.5555360471317</v>
      </c>
      <c r="AA25" s="17">
        <f>'Initial Fee Calculation'!$L$9</f>
        <v>1694.6357090952797</v>
      </c>
      <c r="AB25" s="5"/>
      <c r="AC25" s="4">
        <f>-IFERROR(IF((DATEDIF($B$24,$B25,"M"))&lt;'Fee Recovery Calculation'!$J$4,'Fee Recovery Calculation'!$N$7,0)/('Fee Recovery Calculation'!$J$7),0)</f>
        <v>0</v>
      </c>
      <c r="AD25" s="4">
        <f>-IF((DATEDIF($B$24,$B25,"M"))&lt;'Fee Recovery Calculation'!$J$4,'Fee Recovery Calculation'!$P$7,0)</f>
        <v>-6882.3131856923483</v>
      </c>
      <c r="AE25" s="104">
        <f t="shared" ref="AE25:AE39" si="11">AA25+AD25+AE24+AB25</f>
        <v>10375.354953194139</v>
      </c>
      <c r="AG25" s="17">
        <f>'Initial Fee Calculation'!$L$10</f>
        <v>10486.180592180079</v>
      </c>
      <c r="AH25" s="5"/>
      <c r="AI25" s="4">
        <f>-IFERROR(IF((DATEDIF($B$24,$B25,"M"))&lt;'Fee Recovery Calculation'!$J$4,'Fee Recovery Calculation'!$N$8,0)/('Fee Recovery Calculation'!$J$8),0)</f>
        <v>0</v>
      </c>
      <c r="AJ25" s="4">
        <f>-IF((DATEDIF($B$24,$B25,"M"))&lt;'Fee Recovery Calculation'!$J$4,'Fee Recovery Calculation'!$P$8,0)</f>
        <v>-42586.839501712922</v>
      </c>
      <c r="AK25" s="104">
        <f t="shared" ref="AK25:AK39" si="12">AG25+AJ25+AK24+AH25</f>
        <v>64201.317819065742</v>
      </c>
      <c r="AM25" s="117">
        <f>'Initial Fee Calculation'!$L$16</f>
        <v>1237510.0833333333</v>
      </c>
      <c r="AN25" s="118">
        <f>-IF((DATEDIF($B$24,$B25,"M"))&lt;'Fee Recovery Calculation'!$J$4,'Fee Recovery Calculation'!$K$13,0)</f>
        <v>-2664236.2499999995</v>
      </c>
      <c r="AO25" s="119">
        <f t="shared" si="7"/>
        <v>2853452.3333333316</v>
      </c>
      <c r="AP25" s="120"/>
    </row>
    <row r="26" spans="1:42" x14ac:dyDescent="0.3">
      <c r="A26" s="2" t="s">
        <v>41</v>
      </c>
      <c r="B26" s="32">
        <f t="shared" si="2"/>
        <v>46419</v>
      </c>
      <c r="C26" s="5">
        <f>'Initial Fee Calculation'!$L$16</f>
        <v>1237510.0833333333</v>
      </c>
      <c r="D26" s="5"/>
      <c r="E26" s="4">
        <f t="shared" si="8"/>
        <v>0</v>
      </c>
      <c r="F26" s="4">
        <f t="shared" si="0"/>
        <v>-2664236.2499999995</v>
      </c>
      <c r="G26" s="18">
        <f t="shared" si="0"/>
        <v>1426726.1666666665</v>
      </c>
      <c r="H26" s="5"/>
      <c r="I26" s="17">
        <f>'Initial Fee Calculation'!$L$6</f>
        <v>1219600.1806553374</v>
      </c>
      <c r="J26" s="4"/>
      <c r="K26" s="4">
        <f>-IFERROR(IF((DATEDIF($B$24,$B26,"M"))&lt;'Fee Recovery Calculation'!$J$4,'Fee Recovery Calculation'!$N$4,0)/('Fee Recovery Calculation'!$J$4),0)</f>
        <v>0</v>
      </c>
      <c r="L26" s="4">
        <f>-IF((DATEDIF($B$24,$B26,"M"))&lt;'Fee Recovery Calculation'!$J$4,'Fee Recovery Calculation'!$P$4,0)</f>
        <v>-2591499.9334608875</v>
      </c>
      <c r="M26" s="104">
        <f t="shared" ref="M26:M39" si="13">I26+L26+M25+J26</f>
        <v>1371899.7528055501</v>
      </c>
      <c r="O26" s="17">
        <f>'Initial Fee Calculation'!$L$7</f>
        <v>4625.3559531117244</v>
      </c>
      <c r="P26" s="4"/>
      <c r="Q26" s="4">
        <f>-IFERROR(IF((DATEDIF($B$24,$B26,"M"))&lt;'Fee Recovery Calculation'!$J$4,'Fee Recovery Calculation'!$N$5,0)/('Fee Recovery Calculation'!$J$5),0)</f>
        <v>0</v>
      </c>
      <c r="R26" s="4">
        <f>-IF((DATEDIF($B$24,$B26,"M"))&lt;'Fee Recovery Calculation'!$J$4,'Fee Recovery Calculation'!$P$5,0)</f>
        <v>-18784.655660074743</v>
      </c>
      <c r="S26" s="104">
        <f t="shared" si="9"/>
        <v>14159.299706963</v>
      </c>
      <c r="U26" s="17">
        <f>'Initial Fee Calculation'!$L$8</f>
        <v>1103.7304236087359</v>
      </c>
      <c r="V26" s="5"/>
      <c r="W26" s="4">
        <f>-IFERROR(IF((DATEDIF($B$24,$B26,"M"))&lt;'Fee Recovery Calculation'!$J$4,'Fee Recovery Calculation'!$N$6,0)/('Fee Recovery Calculation'!$J$6),0)</f>
        <v>0</v>
      </c>
      <c r="X26" s="4">
        <f>-IF((DATEDIF($B$24,$B26,"M"))&lt;'Fee Recovery Calculation'!$J$4,'Fee Recovery Calculation'!$P$6,0)</f>
        <v>-4482.5081916323006</v>
      </c>
      <c r="Y26" s="104">
        <f t="shared" si="10"/>
        <v>3378.7777680235668</v>
      </c>
      <c r="AA26" s="17">
        <f>'Initial Fee Calculation'!$L$9</f>
        <v>1694.6357090952797</v>
      </c>
      <c r="AB26" s="5"/>
      <c r="AC26" s="4">
        <f>-IFERROR(IF((DATEDIF($B$24,$B26,"M"))&lt;'Fee Recovery Calculation'!$J$4,'Fee Recovery Calculation'!$N$7,0)/('Fee Recovery Calculation'!$J$7),0)</f>
        <v>0</v>
      </c>
      <c r="AD26" s="4">
        <f>-IF((DATEDIF($B$24,$B26,"M"))&lt;'Fee Recovery Calculation'!$J$4,'Fee Recovery Calculation'!$P$7,0)</f>
        <v>-6882.3131856923483</v>
      </c>
      <c r="AE26" s="104">
        <f t="shared" si="11"/>
        <v>5187.6774765970704</v>
      </c>
      <c r="AG26" s="17">
        <f>'Initial Fee Calculation'!$L$10</f>
        <v>10486.180592180079</v>
      </c>
      <c r="AH26" s="5"/>
      <c r="AI26" s="4">
        <f>-IFERROR(IF((DATEDIF($B$24,$B26,"M"))&lt;'Fee Recovery Calculation'!$J$4,'Fee Recovery Calculation'!$N$8,0)/('Fee Recovery Calculation'!$J$8),0)</f>
        <v>0</v>
      </c>
      <c r="AJ26" s="4">
        <f>-IF((DATEDIF($B$24,$B26,"M"))&lt;'Fee Recovery Calculation'!$J$4,'Fee Recovery Calculation'!$P$8,0)</f>
        <v>-42586.839501712922</v>
      </c>
      <c r="AK26" s="104">
        <f t="shared" si="12"/>
        <v>32100.658909532896</v>
      </c>
      <c r="AM26" s="117">
        <f>'Initial Fee Calculation'!$L$16</f>
        <v>1237510.0833333333</v>
      </c>
      <c r="AN26" s="118">
        <f>-IF((DATEDIF($B$24,$B26,"M"))&lt;'Fee Recovery Calculation'!$J$4,'Fee Recovery Calculation'!$K$13,0)</f>
        <v>-2664236.2499999995</v>
      </c>
      <c r="AO26" s="119">
        <f t="shared" si="7"/>
        <v>1426726.1666666656</v>
      </c>
      <c r="AP26" s="120"/>
    </row>
    <row r="27" spans="1:42" ht="15" thickBot="1" x14ac:dyDescent="0.35">
      <c r="A27" s="2" t="s">
        <v>30</v>
      </c>
      <c r="B27" s="84">
        <f t="shared" si="2"/>
        <v>46447</v>
      </c>
      <c r="C27" s="85">
        <f>'Initial Fee Calculation'!$L$16</f>
        <v>1237510.0833333333</v>
      </c>
      <c r="D27" s="86"/>
      <c r="E27" s="86">
        <f t="shared" si="8"/>
        <v>0</v>
      </c>
      <c r="F27" s="86">
        <f t="shared" si="0"/>
        <v>-2664236.2499999995</v>
      </c>
      <c r="G27" s="82">
        <f t="shared" si="0"/>
        <v>3.637978807091713E-11</v>
      </c>
      <c r="H27" s="5"/>
      <c r="I27" s="81">
        <f>'Initial Fee Calculation'!$L$6</f>
        <v>1219600.1806553374</v>
      </c>
      <c r="J27" s="86"/>
      <c r="K27" s="86">
        <f>-IFERROR(IF((DATEDIF($B$24,$B27,"M"))&lt;'Fee Recovery Calculation'!$J$4,'Fee Recovery Calculation'!$N$4,0)/('Fee Recovery Calculation'!$J$4),0)</f>
        <v>0</v>
      </c>
      <c r="L27" s="86">
        <f>-IF((DATEDIF($B$24,$B27,"M"))&lt;'Fee Recovery Calculation'!$J$4,'Fee Recovery Calculation'!$P$4,0)</f>
        <v>-2591499.9334608875</v>
      </c>
      <c r="M27" s="106">
        <f t="shared" si="13"/>
        <v>0</v>
      </c>
      <c r="O27" s="81">
        <f>'Initial Fee Calculation'!$L$7</f>
        <v>4625.3559531117244</v>
      </c>
      <c r="P27" s="86">
        <f>'Fee Recovery Calculation'!$M$5*'Fee Recovery Calculation by MP'!$AP27</f>
        <v>0</v>
      </c>
      <c r="Q27" s="86">
        <f>-IFERROR(IF((DATEDIF($B$24,$B27,"M"))&lt;'Fee Recovery Calculation'!$J$4,'Fee Recovery Calculation'!$N$5,0)/('Fee Recovery Calculation'!$J$5),0)</f>
        <v>0</v>
      </c>
      <c r="R27" s="86">
        <f>-IF((DATEDIF($B$24,$B27,"M"))&lt;'Fee Recovery Calculation'!$J$4,'Fee Recovery Calculation'!$P$5,0)</f>
        <v>-18784.655660074743</v>
      </c>
      <c r="S27" s="106">
        <f t="shared" si="9"/>
        <v>-1.8189894035458565E-11</v>
      </c>
      <c r="U27" s="81">
        <f>'Initial Fee Calculation'!$L$8</f>
        <v>1103.7304236087359</v>
      </c>
      <c r="V27" s="86"/>
      <c r="W27" s="86">
        <f>-IFERROR(IF((DATEDIF($B$24,$B27,"M"))&lt;'Fee Recovery Calculation'!$J$4,'Fee Recovery Calculation'!$N$6,0)/('Fee Recovery Calculation'!$J$6),0)</f>
        <v>0</v>
      </c>
      <c r="X27" s="86">
        <f>-IF((DATEDIF($B$24,$B27,"M"))&lt;'Fee Recovery Calculation'!$J$4,'Fee Recovery Calculation'!$P$6,0)</f>
        <v>-4482.5081916323006</v>
      </c>
      <c r="Y27" s="106">
        <f t="shared" si="10"/>
        <v>1.8189894035458565E-12</v>
      </c>
      <c r="AA27" s="81">
        <f>'Initial Fee Calculation'!$L$9</f>
        <v>1694.6357090952797</v>
      </c>
      <c r="AB27" s="86"/>
      <c r="AC27" s="86">
        <f>-IFERROR(IF((DATEDIF($B$24,$B27,"M"))&lt;'Fee Recovery Calculation'!$J$4,'Fee Recovery Calculation'!$N$7,0)/('Fee Recovery Calculation'!$J$7),0)</f>
        <v>0</v>
      </c>
      <c r="AD27" s="86">
        <f>-IF((DATEDIF($B$24,$B27,"M"))&lt;'Fee Recovery Calculation'!$J$4,'Fee Recovery Calculation'!$P$7,0)</f>
        <v>-6882.3131856923483</v>
      </c>
      <c r="AE27" s="106">
        <f t="shared" si="11"/>
        <v>1.8189894035458565E-12</v>
      </c>
      <c r="AG27" s="81">
        <f>'Initial Fee Calculation'!$L$10</f>
        <v>10486.180592180079</v>
      </c>
      <c r="AH27" s="86"/>
      <c r="AI27" s="86">
        <f>-IFERROR(IF((DATEDIF($B$24,$B27,"M"))&lt;'Fee Recovery Calculation'!$J$4,'Fee Recovery Calculation'!$N$8,0)/('Fee Recovery Calculation'!$J$8),0)</f>
        <v>0</v>
      </c>
      <c r="AJ27" s="86">
        <f>-IF((DATEDIF($B$24,$B27,"M"))&lt;'Fee Recovery Calculation'!$J$4,'Fee Recovery Calculation'!$P$8,0)</f>
        <v>-42586.839501712922</v>
      </c>
      <c r="AK27" s="106">
        <f t="shared" si="12"/>
        <v>5.0931703299283981E-11</v>
      </c>
      <c r="AM27" s="117">
        <f>'Initial Fee Calculation'!$L$16</f>
        <v>1237510.0833333333</v>
      </c>
      <c r="AN27" s="118">
        <f>-IF((DATEDIF($B$24,$B27,"M"))&lt;'Fee Recovery Calculation'!$J$4,'Fee Recovery Calculation'!$K$13,0)</f>
        <v>-2664236.2499999995</v>
      </c>
      <c r="AO27" s="119">
        <f t="shared" si="7"/>
        <v>0</v>
      </c>
      <c r="AP27" s="121"/>
    </row>
    <row r="28" spans="1:42" x14ac:dyDescent="0.3">
      <c r="A28" s="2" t="s">
        <v>41</v>
      </c>
      <c r="B28" s="52">
        <f t="shared" si="2"/>
        <v>46478</v>
      </c>
      <c r="C28" s="53"/>
      <c r="D28" s="54">
        <f>J28+P28+V28+AB28+AH28</f>
        <v>0</v>
      </c>
      <c r="E28" s="54">
        <f t="shared" si="8"/>
        <v>0</v>
      </c>
      <c r="F28" s="54">
        <f t="shared" si="0"/>
        <v>0</v>
      </c>
      <c r="G28" s="58">
        <f t="shared" si="0"/>
        <v>3.637978807091713E-11</v>
      </c>
      <c r="H28" s="5"/>
      <c r="I28" s="101"/>
      <c r="J28" s="54">
        <f>'Fee Recovery Calculation'!$M$4*'Fee Recovery Calculation by MP'!$AP28</f>
        <v>0</v>
      </c>
      <c r="K28" s="54">
        <f>-IFERROR(IF((DATEDIF($B$24,$B28,"M"))&lt;'Fee Recovery Calculation'!$J$4,'Fee Recovery Calculation'!$N$4,0)/('Fee Recovery Calculation'!$J$4),0)</f>
        <v>0</v>
      </c>
      <c r="L28" s="102">
        <f>-IF((DATEDIF($B$24,$B28,"M"))&lt;'Fee Recovery Calculation'!$J$4,'Fee Recovery Calculation'!$P$4,0)</f>
        <v>0</v>
      </c>
      <c r="M28" s="107">
        <f t="shared" si="13"/>
        <v>0</v>
      </c>
      <c r="O28" s="101"/>
      <c r="P28" s="54">
        <f>'Fee Recovery Calculation'!$M$5*'Fee Recovery Calculation by MP'!$AP28</f>
        <v>0</v>
      </c>
      <c r="Q28" s="54">
        <f>-IFERROR(IF((DATEDIF($B$24,$B28,"M"))&lt;'Fee Recovery Calculation'!$J$4,'Fee Recovery Calculation'!$N$5,0)/('Fee Recovery Calculation'!$J$5),0)</f>
        <v>0</v>
      </c>
      <c r="R28" s="102">
        <f>-IF((DATEDIF($B$24,$B28,"M"))&lt;'Fee Recovery Calculation'!$J$4,'Fee Recovery Calculation'!$P$5,0)</f>
        <v>0</v>
      </c>
      <c r="S28" s="107">
        <f t="shared" si="9"/>
        <v>-1.8189894035458565E-11</v>
      </c>
      <c r="U28" s="101"/>
      <c r="V28" s="54">
        <f>'Fee Recovery Calculation'!$M$6*'Fee Recovery Calculation by MP'!$AP28</f>
        <v>0</v>
      </c>
      <c r="W28" s="54">
        <f>-IFERROR(IF((DATEDIF($B$24,$B28,"M"))&lt;'Fee Recovery Calculation'!$J$4,'Fee Recovery Calculation'!$N$6,0)/('Fee Recovery Calculation'!$J$6),0)</f>
        <v>0</v>
      </c>
      <c r="X28" s="102">
        <f>-IF((DATEDIF($B$24,$B28,"M"))&lt;'Fee Recovery Calculation'!$J$4,'Fee Recovery Calculation'!$P$6,0)</f>
        <v>0</v>
      </c>
      <c r="Y28" s="107">
        <f>U28+X28+Y27+V28</f>
        <v>1.8189894035458565E-12</v>
      </c>
      <c r="AA28" s="101"/>
      <c r="AB28" s="54">
        <f>'Fee Recovery Calculation'!$M$7*'Fee Recovery Calculation by MP'!$AP28</f>
        <v>0</v>
      </c>
      <c r="AC28" s="54">
        <f>-IFERROR(IF((DATEDIF($B$24,$B28,"M"))&lt;'Fee Recovery Calculation'!$J$4,'Fee Recovery Calculation'!$N$7,0)/('Fee Recovery Calculation'!$J$7),0)</f>
        <v>0</v>
      </c>
      <c r="AD28" s="102">
        <f>-IF((DATEDIF($B$24,$B28,"M"))&lt;'Fee Recovery Calculation'!$J$4,'Fee Recovery Calculation'!$P$7,0)</f>
        <v>0</v>
      </c>
      <c r="AE28" s="107">
        <f t="shared" si="11"/>
        <v>1.8189894035458565E-12</v>
      </c>
      <c r="AG28" s="101"/>
      <c r="AH28" s="54">
        <f>'Fee Recovery Calculation'!$M$8*'Fee Recovery Calculation by MP'!$AP28</f>
        <v>0</v>
      </c>
      <c r="AI28" s="54">
        <f>-IFERROR(IF((DATEDIF($B$24,$B28,"M"))&lt;'Fee Recovery Calculation'!$J$4,'Fee Recovery Calculation'!$N$8,0)/('Fee Recovery Calculation'!$J$8),0)</f>
        <v>0</v>
      </c>
      <c r="AJ28" s="102">
        <f>-IF((DATEDIF($B$24,$B28,"M"))&lt;'Fee Recovery Calculation'!$J$4,'Fee Recovery Calculation'!$P$8,0)</f>
        <v>0</v>
      </c>
      <c r="AK28" s="107">
        <f t="shared" si="12"/>
        <v>5.0931703299283981E-11</v>
      </c>
      <c r="AM28" s="101"/>
      <c r="AN28" s="109">
        <f>-IF((DATEDIF($B$24,$B28,"M"))&lt;'Fee Recovery Calculation'!$J$4,'Fee Recovery Calculation'!$K$13,0)</f>
        <v>0</v>
      </c>
      <c r="AO28" s="122">
        <f t="shared" si="7"/>
        <v>0</v>
      </c>
      <c r="AP28" s="123">
        <f>IF(ROUND(AN28,0)=0,0,(AO27+SUM($AP$27:AP27))*'Fee Recovery Calculation'!$R$4/12)</f>
        <v>0</v>
      </c>
    </row>
    <row r="29" spans="1:42" x14ac:dyDescent="0.3">
      <c r="A29" s="2" t="s">
        <v>41</v>
      </c>
      <c r="B29" s="52">
        <f t="shared" si="2"/>
        <v>46508</v>
      </c>
      <c r="C29" s="53"/>
      <c r="D29" s="54">
        <f t="shared" si="8"/>
        <v>0</v>
      </c>
      <c r="E29" s="54">
        <f t="shared" si="8"/>
        <v>0</v>
      </c>
      <c r="F29" s="54">
        <f t="shared" si="0"/>
        <v>0</v>
      </c>
      <c r="G29" s="58">
        <f t="shared" si="0"/>
        <v>3.637978807091713E-11</v>
      </c>
      <c r="H29" s="5"/>
      <c r="I29" s="98"/>
      <c r="J29" s="54">
        <f>'Fee Recovery Calculation'!$M$4*'Fee Recovery Calculation by MP'!$AP29</f>
        <v>0</v>
      </c>
      <c r="K29" s="54">
        <f>-IFERROR(IF((DATEDIF($B$24,$B29,"M"))&lt;'Fee Recovery Calculation'!$J$4,'Fee Recovery Calculation'!$N$4,0)/('Fee Recovery Calculation'!$J$4),0)</f>
        <v>0</v>
      </c>
      <c r="L29" s="54">
        <f>-IF((DATEDIF($B$24,$B29,"M"))&lt;'Fee Recovery Calculation'!$J$4,'Fee Recovery Calculation'!$P$4,0)</f>
        <v>0</v>
      </c>
      <c r="M29" s="107">
        <f t="shared" si="13"/>
        <v>0</v>
      </c>
      <c r="O29" s="98"/>
      <c r="P29" s="54">
        <f>'Fee Recovery Calculation'!$M$5*'Fee Recovery Calculation by MP'!$AP29</f>
        <v>0</v>
      </c>
      <c r="Q29" s="54">
        <f>-IFERROR(IF((DATEDIF($B$24,$B29,"M"))&lt;'Fee Recovery Calculation'!$J$4,'Fee Recovery Calculation'!$N$5,0)/('Fee Recovery Calculation'!$J$5),0)</f>
        <v>0</v>
      </c>
      <c r="R29" s="54">
        <f>-IF((DATEDIF($B$24,$B29,"M"))&lt;'Fee Recovery Calculation'!$J$4,'Fee Recovery Calculation'!$P$5,0)</f>
        <v>0</v>
      </c>
      <c r="S29" s="107">
        <f t="shared" si="9"/>
        <v>-1.8189894035458565E-11</v>
      </c>
      <c r="U29" s="98"/>
      <c r="V29" s="54">
        <f>'Fee Recovery Calculation'!$M$6*'Fee Recovery Calculation by MP'!$AP29</f>
        <v>0</v>
      </c>
      <c r="W29" s="54">
        <f>-IFERROR(IF((DATEDIF($B$24,$B29,"M"))&lt;'Fee Recovery Calculation'!$J$4,'Fee Recovery Calculation'!$N$6,0)/('Fee Recovery Calculation'!$J$6),0)</f>
        <v>0</v>
      </c>
      <c r="X29" s="54">
        <f>-IF((DATEDIF($B$24,$B29,"M"))&lt;'Fee Recovery Calculation'!$J$4,'Fee Recovery Calculation'!$P$6,0)</f>
        <v>0</v>
      </c>
      <c r="Y29" s="107">
        <f t="shared" si="10"/>
        <v>1.8189894035458565E-12</v>
      </c>
      <c r="AA29" s="98"/>
      <c r="AB29" s="54">
        <f>'Fee Recovery Calculation'!$M$7*'Fee Recovery Calculation by MP'!$AP29</f>
        <v>0</v>
      </c>
      <c r="AC29" s="54">
        <f>-IFERROR(IF((DATEDIF($B$24,$B29,"M"))&lt;'Fee Recovery Calculation'!$J$4,'Fee Recovery Calculation'!$N$7,0)/('Fee Recovery Calculation'!$J$7),0)</f>
        <v>0</v>
      </c>
      <c r="AD29" s="54">
        <f>-IF((DATEDIF($B$24,$B29,"M"))&lt;'Fee Recovery Calculation'!$J$4,'Fee Recovery Calculation'!$P$7,0)</f>
        <v>0</v>
      </c>
      <c r="AE29" s="107">
        <f t="shared" si="11"/>
        <v>1.8189894035458565E-12</v>
      </c>
      <c r="AG29" s="98"/>
      <c r="AH29" s="54">
        <f>'Fee Recovery Calculation'!$M$8*'Fee Recovery Calculation by MP'!$AP29</f>
        <v>0</v>
      </c>
      <c r="AI29" s="54">
        <f>-IFERROR(IF((DATEDIF($B$24,$B29,"M"))&lt;'Fee Recovery Calculation'!$J$4,'Fee Recovery Calculation'!$N$8,0)/('Fee Recovery Calculation'!$J$8),0)</f>
        <v>0</v>
      </c>
      <c r="AJ29" s="54">
        <f>-IF((DATEDIF($B$24,$B29,"M"))&lt;'Fee Recovery Calculation'!$J$4,'Fee Recovery Calculation'!$P$8,0)</f>
        <v>0</v>
      </c>
      <c r="AK29" s="107">
        <f t="shared" si="12"/>
        <v>5.0931703299283981E-11</v>
      </c>
      <c r="AM29" s="98"/>
      <c r="AN29" s="110">
        <f>-IF((DATEDIF($B$24,$B29,"M"))&lt;'Fee Recovery Calculation'!$J$4,'Fee Recovery Calculation'!$K$13,0)</f>
        <v>0</v>
      </c>
      <c r="AO29" s="124">
        <f t="shared" si="7"/>
        <v>0</v>
      </c>
      <c r="AP29" s="123">
        <f>IF(ROUND(AN29,0)=0,0,(AO28+SUM($AP$27:AP28))*'Fee Recovery Calculation'!$R$4/12)</f>
        <v>0</v>
      </c>
    </row>
    <row r="30" spans="1:42" x14ac:dyDescent="0.3">
      <c r="A30" s="2" t="s">
        <v>41</v>
      </c>
      <c r="B30" s="52">
        <f t="shared" si="2"/>
        <v>46539</v>
      </c>
      <c r="C30" s="53"/>
      <c r="D30" s="54">
        <f t="shared" si="8"/>
        <v>0</v>
      </c>
      <c r="E30" s="54">
        <f t="shared" si="8"/>
        <v>0</v>
      </c>
      <c r="F30" s="54">
        <f t="shared" si="0"/>
        <v>0</v>
      </c>
      <c r="G30" s="58">
        <f t="shared" si="0"/>
        <v>3.637978807091713E-11</v>
      </c>
      <c r="H30" s="5"/>
      <c r="I30" s="98"/>
      <c r="J30" s="54">
        <f>'Fee Recovery Calculation'!$M$4*'Fee Recovery Calculation by MP'!$AP30</f>
        <v>0</v>
      </c>
      <c r="K30" s="54">
        <f>-IFERROR(IF((DATEDIF($B$24,$B30,"M"))&lt;'Fee Recovery Calculation'!$J$4,'Fee Recovery Calculation'!$N$4,0)/('Fee Recovery Calculation'!$J$4),0)</f>
        <v>0</v>
      </c>
      <c r="L30" s="54">
        <f>-IF((DATEDIF($B$24,$B30,"M"))&lt;'Fee Recovery Calculation'!$J$4,'Fee Recovery Calculation'!$P$4,0)</f>
        <v>0</v>
      </c>
      <c r="M30" s="107">
        <f t="shared" si="13"/>
        <v>0</v>
      </c>
      <c r="O30" s="98"/>
      <c r="P30" s="54">
        <f>'Fee Recovery Calculation'!$M$5*'Fee Recovery Calculation by MP'!$AP30</f>
        <v>0</v>
      </c>
      <c r="Q30" s="54">
        <f>-IFERROR(IF((DATEDIF($B$24,$B30,"M"))&lt;'Fee Recovery Calculation'!$J$4,'Fee Recovery Calculation'!$N$5,0)/('Fee Recovery Calculation'!$J$5),0)</f>
        <v>0</v>
      </c>
      <c r="R30" s="54">
        <f>-IF((DATEDIF($B$24,$B30,"M"))&lt;'Fee Recovery Calculation'!$J$4,'Fee Recovery Calculation'!$P$5,0)</f>
        <v>0</v>
      </c>
      <c r="S30" s="107">
        <f t="shared" si="9"/>
        <v>-1.8189894035458565E-11</v>
      </c>
      <c r="U30" s="98"/>
      <c r="V30" s="54">
        <f>'Fee Recovery Calculation'!$M$6*'Fee Recovery Calculation by MP'!$AP30</f>
        <v>0</v>
      </c>
      <c r="W30" s="54">
        <f>-IFERROR(IF((DATEDIF($B$24,$B30,"M"))&lt;'Fee Recovery Calculation'!$J$4,'Fee Recovery Calculation'!$N$6,0)/('Fee Recovery Calculation'!$J$6),0)</f>
        <v>0</v>
      </c>
      <c r="X30" s="54">
        <f>-IF((DATEDIF($B$24,$B30,"M"))&lt;'Fee Recovery Calculation'!$J$4,'Fee Recovery Calculation'!$P$6,0)</f>
        <v>0</v>
      </c>
      <c r="Y30" s="107">
        <f t="shared" si="10"/>
        <v>1.8189894035458565E-12</v>
      </c>
      <c r="AA30" s="98"/>
      <c r="AB30" s="54">
        <f>'Fee Recovery Calculation'!$M$7*'Fee Recovery Calculation by MP'!$AP30</f>
        <v>0</v>
      </c>
      <c r="AC30" s="54">
        <f>-IFERROR(IF((DATEDIF($B$24,$B30,"M"))&lt;'Fee Recovery Calculation'!$J$4,'Fee Recovery Calculation'!$N$7,0)/('Fee Recovery Calculation'!$J$7),0)</f>
        <v>0</v>
      </c>
      <c r="AD30" s="54">
        <f>-IF((DATEDIF($B$24,$B30,"M"))&lt;'Fee Recovery Calculation'!$J$4,'Fee Recovery Calculation'!$P$7,0)</f>
        <v>0</v>
      </c>
      <c r="AE30" s="107">
        <f t="shared" si="11"/>
        <v>1.8189894035458565E-12</v>
      </c>
      <c r="AG30" s="98"/>
      <c r="AH30" s="54">
        <f>'Fee Recovery Calculation'!$M$8*'Fee Recovery Calculation by MP'!$AP30</f>
        <v>0</v>
      </c>
      <c r="AI30" s="54">
        <f>-IFERROR(IF((DATEDIF($B$24,$B30,"M"))&lt;'Fee Recovery Calculation'!$J$4,'Fee Recovery Calculation'!$N$8,0)/('Fee Recovery Calculation'!$J$8),0)</f>
        <v>0</v>
      </c>
      <c r="AJ30" s="54">
        <f>-IF((DATEDIF($B$24,$B30,"M"))&lt;'Fee Recovery Calculation'!$J$4,'Fee Recovery Calculation'!$P$8,0)</f>
        <v>0</v>
      </c>
      <c r="AK30" s="107">
        <f t="shared" si="12"/>
        <v>5.0931703299283981E-11</v>
      </c>
      <c r="AM30" s="98"/>
      <c r="AN30" s="110">
        <f>-IF((DATEDIF($B$24,$B30,"M"))&lt;'Fee Recovery Calculation'!$J$4,'Fee Recovery Calculation'!$K$13,0)</f>
        <v>0</v>
      </c>
      <c r="AO30" s="124">
        <f t="shared" si="7"/>
        <v>0</v>
      </c>
      <c r="AP30" s="123">
        <f>IF(ROUND(AN30,0)=0,0,(AO29+SUM($AP$27:AP29))*'Fee Recovery Calculation'!$R$4/12)</f>
        <v>0</v>
      </c>
    </row>
    <row r="31" spans="1:42" x14ac:dyDescent="0.3">
      <c r="A31" s="2" t="s">
        <v>41</v>
      </c>
      <c r="B31" s="52">
        <f t="shared" si="2"/>
        <v>46569</v>
      </c>
      <c r="C31" s="53"/>
      <c r="D31" s="54">
        <f t="shared" si="8"/>
        <v>0</v>
      </c>
      <c r="E31" s="54">
        <f t="shared" si="8"/>
        <v>0</v>
      </c>
      <c r="F31" s="54">
        <f t="shared" si="0"/>
        <v>0</v>
      </c>
      <c r="G31" s="58">
        <f t="shared" si="0"/>
        <v>3.637978807091713E-11</v>
      </c>
      <c r="H31" s="5"/>
      <c r="I31" s="98"/>
      <c r="J31" s="54">
        <f>'Fee Recovery Calculation'!$M$4*'Fee Recovery Calculation by MP'!$AP31</f>
        <v>0</v>
      </c>
      <c r="K31" s="54">
        <f>-IFERROR(IF((DATEDIF($B$24,$B31,"M"))&lt;'Fee Recovery Calculation'!$J$4,'Fee Recovery Calculation'!$N$4,0)/('Fee Recovery Calculation'!$J$4),0)</f>
        <v>0</v>
      </c>
      <c r="L31" s="54">
        <f>-IF((DATEDIF($B$24,$B31,"M"))&lt;'Fee Recovery Calculation'!$J$4,'Fee Recovery Calculation'!$P$4,0)</f>
        <v>0</v>
      </c>
      <c r="M31" s="107">
        <f t="shared" si="13"/>
        <v>0</v>
      </c>
      <c r="O31" s="98"/>
      <c r="P31" s="54">
        <f>'Fee Recovery Calculation'!$M$5*'Fee Recovery Calculation by MP'!$AP31</f>
        <v>0</v>
      </c>
      <c r="Q31" s="54">
        <f>-IFERROR(IF((DATEDIF($B$24,$B31,"M"))&lt;'Fee Recovery Calculation'!$J$4,'Fee Recovery Calculation'!$N$5,0)/('Fee Recovery Calculation'!$J$5),0)</f>
        <v>0</v>
      </c>
      <c r="R31" s="54">
        <f>-IF((DATEDIF($B$24,$B31,"M"))&lt;'Fee Recovery Calculation'!$J$4,'Fee Recovery Calculation'!$P$5,0)</f>
        <v>0</v>
      </c>
      <c r="S31" s="107">
        <f t="shared" si="9"/>
        <v>-1.8189894035458565E-11</v>
      </c>
      <c r="U31" s="98"/>
      <c r="V31" s="54">
        <f>'Fee Recovery Calculation'!$M$6*'Fee Recovery Calculation by MP'!$AP31</f>
        <v>0</v>
      </c>
      <c r="W31" s="54">
        <f>-IFERROR(IF((DATEDIF($B$24,$B31,"M"))&lt;'Fee Recovery Calculation'!$J$4,'Fee Recovery Calculation'!$N$6,0)/('Fee Recovery Calculation'!$J$6),0)</f>
        <v>0</v>
      </c>
      <c r="X31" s="54">
        <f>-IF((DATEDIF($B$24,$B31,"M"))&lt;'Fee Recovery Calculation'!$J$4,'Fee Recovery Calculation'!$P$6,0)</f>
        <v>0</v>
      </c>
      <c r="Y31" s="107">
        <f t="shared" si="10"/>
        <v>1.8189894035458565E-12</v>
      </c>
      <c r="AA31" s="98"/>
      <c r="AB31" s="54">
        <f>'Fee Recovery Calculation'!$M$7*'Fee Recovery Calculation by MP'!$AP31</f>
        <v>0</v>
      </c>
      <c r="AC31" s="54">
        <f>-IFERROR(IF((DATEDIF($B$24,$B31,"M"))&lt;'Fee Recovery Calculation'!$J$4,'Fee Recovery Calculation'!$N$7,0)/('Fee Recovery Calculation'!$J$7),0)</f>
        <v>0</v>
      </c>
      <c r="AD31" s="54">
        <f>-IF((DATEDIF($B$24,$B31,"M"))&lt;'Fee Recovery Calculation'!$J$4,'Fee Recovery Calculation'!$P$7,0)</f>
        <v>0</v>
      </c>
      <c r="AE31" s="107">
        <f t="shared" si="11"/>
        <v>1.8189894035458565E-12</v>
      </c>
      <c r="AG31" s="98"/>
      <c r="AH31" s="54">
        <f>'Fee Recovery Calculation'!$M$8*'Fee Recovery Calculation by MP'!$AP31</f>
        <v>0</v>
      </c>
      <c r="AI31" s="54">
        <f>-IFERROR(IF((DATEDIF($B$24,$B31,"M"))&lt;'Fee Recovery Calculation'!$J$4,'Fee Recovery Calculation'!$N$8,0)/('Fee Recovery Calculation'!$J$8),0)</f>
        <v>0</v>
      </c>
      <c r="AJ31" s="54">
        <f>-IF((DATEDIF($B$24,$B31,"M"))&lt;'Fee Recovery Calculation'!$J$4,'Fee Recovery Calculation'!$P$8,0)</f>
        <v>0</v>
      </c>
      <c r="AK31" s="107">
        <f t="shared" si="12"/>
        <v>5.0931703299283981E-11</v>
      </c>
      <c r="AM31" s="98"/>
      <c r="AN31" s="110">
        <f>-IF((DATEDIF($B$24,$B31,"M"))&lt;'Fee Recovery Calculation'!$J$4,'Fee Recovery Calculation'!$K$13,0)</f>
        <v>0</v>
      </c>
      <c r="AO31" s="124">
        <f t="shared" si="7"/>
        <v>0</v>
      </c>
      <c r="AP31" s="123">
        <f>IF(ROUND(AN31,0)=0,0,(AO30+SUM($AP$27:AP30))*'Fee Recovery Calculation'!$R$4/12)</f>
        <v>0</v>
      </c>
    </row>
    <row r="32" spans="1:42" x14ac:dyDescent="0.3">
      <c r="A32" s="2" t="s">
        <v>41</v>
      </c>
      <c r="B32" s="52">
        <f t="shared" si="2"/>
        <v>46600</v>
      </c>
      <c r="C32" s="53"/>
      <c r="D32" s="54">
        <f t="shared" si="8"/>
        <v>0</v>
      </c>
      <c r="E32" s="54">
        <f t="shared" si="8"/>
        <v>0</v>
      </c>
      <c r="F32" s="54">
        <f t="shared" si="0"/>
        <v>0</v>
      </c>
      <c r="G32" s="58">
        <f t="shared" si="0"/>
        <v>3.637978807091713E-11</v>
      </c>
      <c r="H32" s="5"/>
      <c r="I32" s="98"/>
      <c r="J32" s="54">
        <f>'Fee Recovery Calculation'!$M$4*'Fee Recovery Calculation by MP'!$AP32</f>
        <v>0</v>
      </c>
      <c r="K32" s="54">
        <f>-IFERROR(IF((DATEDIF($B$24,$B32,"M"))&lt;'Fee Recovery Calculation'!$J$4,'Fee Recovery Calculation'!$N$4,0)/('Fee Recovery Calculation'!$J$4),0)</f>
        <v>0</v>
      </c>
      <c r="L32" s="54">
        <f>-IF((DATEDIF($B$24,$B32,"M"))&lt;'Fee Recovery Calculation'!$J$4,'Fee Recovery Calculation'!$P$4,0)</f>
        <v>0</v>
      </c>
      <c r="M32" s="107">
        <f>I32+L32+M31+J32</f>
        <v>0</v>
      </c>
      <c r="O32" s="98"/>
      <c r="P32" s="54">
        <f>'Fee Recovery Calculation'!$M$5*'Fee Recovery Calculation by MP'!$AP32</f>
        <v>0</v>
      </c>
      <c r="Q32" s="54">
        <f>-IFERROR(IF((DATEDIF($B$24,$B32,"M"))&lt;'Fee Recovery Calculation'!$J$4,'Fee Recovery Calculation'!$N$5,0)/('Fee Recovery Calculation'!$J$5),0)</f>
        <v>0</v>
      </c>
      <c r="R32" s="54">
        <f>-IF((DATEDIF($B$24,$B32,"M"))&lt;'Fee Recovery Calculation'!$J$4,'Fee Recovery Calculation'!$P$5,0)</f>
        <v>0</v>
      </c>
      <c r="S32" s="107">
        <f>O32+R32+S31+P32</f>
        <v>-1.8189894035458565E-11</v>
      </c>
      <c r="U32" s="98"/>
      <c r="V32" s="54">
        <f>'Fee Recovery Calculation'!$M$6*'Fee Recovery Calculation by MP'!$AP32</f>
        <v>0</v>
      </c>
      <c r="W32" s="54">
        <f>-IFERROR(IF((DATEDIF($B$24,$B32,"M"))&lt;'Fee Recovery Calculation'!$J$4,'Fee Recovery Calculation'!$N$6,0)/('Fee Recovery Calculation'!$J$6),0)</f>
        <v>0</v>
      </c>
      <c r="X32" s="54">
        <f>-IF((DATEDIF($B$24,$B32,"M"))&lt;'Fee Recovery Calculation'!$J$4,'Fee Recovery Calculation'!$P$6,0)</f>
        <v>0</v>
      </c>
      <c r="Y32" s="107">
        <f>U32+X32+Y31+V32</f>
        <v>1.8189894035458565E-12</v>
      </c>
      <c r="AA32" s="98"/>
      <c r="AB32" s="54">
        <f>'Fee Recovery Calculation'!$M$7*'Fee Recovery Calculation by MP'!$AP32</f>
        <v>0</v>
      </c>
      <c r="AC32" s="54">
        <f>-IFERROR(IF((DATEDIF($B$24,$B32,"M"))&lt;'Fee Recovery Calculation'!$J$4,'Fee Recovery Calculation'!$N$7,0)/('Fee Recovery Calculation'!$J$7),0)</f>
        <v>0</v>
      </c>
      <c r="AD32" s="54">
        <f>-IF((DATEDIF($B$24,$B32,"M"))&lt;'Fee Recovery Calculation'!$J$4,'Fee Recovery Calculation'!$P$7,0)</f>
        <v>0</v>
      </c>
      <c r="AE32" s="107">
        <f>AA32+AD32+AE31+AB32</f>
        <v>1.8189894035458565E-12</v>
      </c>
      <c r="AG32" s="98"/>
      <c r="AH32" s="54">
        <f>'Fee Recovery Calculation'!$M$8*'Fee Recovery Calculation by MP'!$AP32</f>
        <v>0</v>
      </c>
      <c r="AI32" s="54">
        <f>-IFERROR(IF((DATEDIF($B$24,$B32,"M"))&lt;'Fee Recovery Calculation'!$J$4,'Fee Recovery Calculation'!$N$8,0)/('Fee Recovery Calculation'!$J$8),0)</f>
        <v>0</v>
      </c>
      <c r="AJ32" s="54">
        <f>-IF((DATEDIF($B$24,$B32,"M"))&lt;'Fee Recovery Calculation'!$J$4,'Fee Recovery Calculation'!$P$8,0)</f>
        <v>0</v>
      </c>
      <c r="AK32" s="107">
        <f>AG32+AJ32+AK31+AH32</f>
        <v>5.0931703299283981E-11</v>
      </c>
      <c r="AM32" s="98"/>
      <c r="AN32" s="110">
        <f>-IF((DATEDIF($B$24,$B32,"M"))&lt;'Fee Recovery Calculation'!$J$4,'Fee Recovery Calculation'!$K$13,0)</f>
        <v>0</v>
      </c>
      <c r="AO32" s="124">
        <f>AM32+AO31+AN32</f>
        <v>0</v>
      </c>
      <c r="AP32" s="123">
        <f>IF(ROUND(AN32,0)=0,0,(AO31+SUM($AP$27:AP31))*'Fee Recovery Calculation'!$R$4/12)</f>
        <v>0</v>
      </c>
    </row>
    <row r="33" spans="1:42" x14ac:dyDescent="0.3">
      <c r="A33" s="2" t="s">
        <v>41</v>
      </c>
      <c r="B33" s="52">
        <f t="shared" si="2"/>
        <v>46631</v>
      </c>
      <c r="C33" s="53"/>
      <c r="D33" s="54">
        <f t="shared" si="8"/>
        <v>0</v>
      </c>
      <c r="E33" s="54">
        <f t="shared" si="8"/>
        <v>0</v>
      </c>
      <c r="F33" s="54">
        <f t="shared" si="0"/>
        <v>0</v>
      </c>
      <c r="G33" s="58">
        <f t="shared" si="0"/>
        <v>3.637978807091713E-11</v>
      </c>
      <c r="H33" s="5"/>
      <c r="I33" s="98"/>
      <c r="J33" s="54">
        <f>'Fee Recovery Calculation'!$M$4*'Fee Recovery Calculation by MP'!$AP33</f>
        <v>0</v>
      </c>
      <c r="K33" s="54">
        <f>-IFERROR(IF((DATEDIF($B$24,$B33,"M"))&lt;'Fee Recovery Calculation'!$J$4,'Fee Recovery Calculation'!$N$4,0)/('Fee Recovery Calculation'!$J$4),0)</f>
        <v>0</v>
      </c>
      <c r="L33" s="54">
        <f>-IF((DATEDIF($B$24,$B33,"M"))&lt;'Fee Recovery Calculation'!$J$4,'Fee Recovery Calculation'!$P$4,0)</f>
        <v>0</v>
      </c>
      <c r="M33" s="107">
        <f t="shared" si="13"/>
        <v>0</v>
      </c>
      <c r="O33" s="98"/>
      <c r="P33" s="54">
        <f>'Fee Recovery Calculation'!$M$5*'Fee Recovery Calculation by MP'!$AP33</f>
        <v>0</v>
      </c>
      <c r="Q33" s="54">
        <f>-IFERROR(IF((DATEDIF($B$24,$B33,"M"))&lt;'Fee Recovery Calculation'!$J$4,'Fee Recovery Calculation'!$N$5,0)/('Fee Recovery Calculation'!$J$5),0)</f>
        <v>0</v>
      </c>
      <c r="R33" s="54">
        <f>-IF((DATEDIF($B$24,$B33,"M"))&lt;'Fee Recovery Calculation'!$J$4,'Fee Recovery Calculation'!$P$5,0)</f>
        <v>0</v>
      </c>
      <c r="S33" s="107">
        <f t="shared" si="9"/>
        <v>-1.8189894035458565E-11</v>
      </c>
      <c r="U33" s="98"/>
      <c r="V33" s="54">
        <f>'Fee Recovery Calculation'!$M$6*'Fee Recovery Calculation by MP'!$AP33</f>
        <v>0</v>
      </c>
      <c r="W33" s="54">
        <f>-IFERROR(IF((DATEDIF($B$24,$B33,"M"))&lt;'Fee Recovery Calculation'!$J$4,'Fee Recovery Calculation'!$N$6,0)/('Fee Recovery Calculation'!$J$6),0)</f>
        <v>0</v>
      </c>
      <c r="X33" s="54">
        <f>-IF((DATEDIF($B$24,$B33,"M"))&lt;'Fee Recovery Calculation'!$J$4,'Fee Recovery Calculation'!$P$6,0)</f>
        <v>0</v>
      </c>
      <c r="Y33" s="107">
        <f t="shared" si="10"/>
        <v>1.8189894035458565E-12</v>
      </c>
      <c r="AA33" s="98"/>
      <c r="AB33" s="54">
        <f>'Fee Recovery Calculation'!$M$7*'Fee Recovery Calculation by MP'!$AP33</f>
        <v>0</v>
      </c>
      <c r="AC33" s="54">
        <f>-IFERROR(IF((DATEDIF($B$24,$B33,"M"))&lt;'Fee Recovery Calculation'!$J$4,'Fee Recovery Calculation'!$N$7,0)/('Fee Recovery Calculation'!$J$7),0)</f>
        <v>0</v>
      </c>
      <c r="AD33" s="54">
        <f>-IF((DATEDIF($B$24,$B33,"M"))&lt;'Fee Recovery Calculation'!$J$4,'Fee Recovery Calculation'!$P$7,0)</f>
        <v>0</v>
      </c>
      <c r="AE33" s="107">
        <f t="shared" si="11"/>
        <v>1.8189894035458565E-12</v>
      </c>
      <c r="AG33" s="98"/>
      <c r="AH33" s="54">
        <f>'Fee Recovery Calculation'!$M$8*'Fee Recovery Calculation by MP'!$AP33</f>
        <v>0</v>
      </c>
      <c r="AI33" s="54">
        <f>-IFERROR(IF((DATEDIF($B$24,$B33,"M"))&lt;'Fee Recovery Calculation'!$J$4,'Fee Recovery Calculation'!$N$8,0)/('Fee Recovery Calculation'!$J$8),0)</f>
        <v>0</v>
      </c>
      <c r="AJ33" s="54">
        <f>-IF((DATEDIF($B$24,$B33,"M"))&lt;'Fee Recovery Calculation'!$J$4,'Fee Recovery Calculation'!$P$8,0)</f>
        <v>0</v>
      </c>
      <c r="AK33" s="107">
        <f t="shared" si="12"/>
        <v>5.0931703299283981E-11</v>
      </c>
      <c r="AM33" s="98"/>
      <c r="AN33" s="110">
        <f>-IF((DATEDIF($B$24,$B33,"M"))&lt;'Fee Recovery Calculation'!$J$4,'Fee Recovery Calculation'!$K$13,0)</f>
        <v>0</v>
      </c>
      <c r="AO33" s="124">
        <f>AM33+AO32+AN33</f>
        <v>0</v>
      </c>
      <c r="AP33" s="123">
        <f>IF(ROUND(AN33,0)=0,0,(AO32+SUM($AP$27:AP32))*'Fee Recovery Calculation'!$R$4/12)</f>
        <v>0</v>
      </c>
    </row>
    <row r="34" spans="1:42" x14ac:dyDescent="0.3">
      <c r="A34" s="2" t="s">
        <v>41</v>
      </c>
      <c r="B34" s="52">
        <f t="shared" si="2"/>
        <v>46661</v>
      </c>
      <c r="C34" s="53"/>
      <c r="D34" s="54">
        <f t="shared" si="8"/>
        <v>0</v>
      </c>
      <c r="E34" s="54">
        <f t="shared" si="8"/>
        <v>0</v>
      </c>
      <c r="F34" s="54">
        <f t="shared" si="0"/>
        <v>0</v>
      </c>
      <c r="G34" s="58">
        <f t="shared" si="0"/>
        <v>3.637978807091713E-11</v>
      </c>
      <c r="H34" s="5"/>
      <c r="I34" s="98"/>
      <c r="J34" s="54">
        <f>'Fee Recovery Calculation'!$M$4*'Fee Recovery Calculation by MP'!$AP34</f>
        <v>0</v>
      </c>
      <c r="K34" s="54">
        <f>-IFERROR(IF((DATEDIF($B$24,$B34,"M"))&lt;'Fee Recovery Calculation'!$J$4,'Fee Recovery Calculation'!$N$4,0)/('Fee Recovery Calculation'!$J$4),0)</f>
        <v>0</v>
      </c>
      <c r="L34" s="54">
        <f>-IF((DATEDIF($B$24,$B34,"M"))&lt;'Fee Recovery Calculation'!$J$4,'Fee Recovery Calculation'!$P$4,0)</f>
        <v>0</v>
      </c>
      <c r="M34" s="107">
        <f t="shared" si="13"/>
        <v>0</v>
      </c>
      <c r="O34" s="98"/>
      <c r="P34" s="54">
        <f>'Fee Recovery Calculation'!$M$5*'Fee Recovery Calculation by MP'!$AP34</f>
        <v>0</v>
      </c>
      <c r="Q34" s="54">
        <f>-IFERROR(IF((DATEDIF($B$24,$B34,"M"))&lt;'Fee Recovery Calculation'!$J$4,'Fee Recovery Calculation'!$N$5,0)/('Fee Recovery Calculation'!$J$5),0)</f>
        <v>0</v>
      </c>
      <c r="R34" s="54">
        <f>-IF((DATEDIF($B$24,$B34,"M"))&lt;'Fee Recovery Calculation'!$J$4,'Fee Recovery Calculation'!$P$5,0)</f>
        <v>0</v>
      </c>
      <c r="S34" s="107">
        <f t="shared" si="9"/>
        <v>-1.8189894035458565E-11</v>
      </c>
      <c r="U34" s="98"/>
      <c r="V34" s="54">
        <f>'Fee Recovery Calculation'!$M$6*'Fee Recovery Calculation by MP'!$AP34</f>
        <v>0</v>
      </c>
      <c r="W34" s="54">
        <f>-IFERROR(IF((DATEDIF($B$24,$B34,"M"))&lt;'Fee Recovery Calculation'!$J$4,'Fee Recovery Calculation'!$N$6,0)/('Fee Recovery Calculation'!$J$6),0)</f>
        <v>0</v>
      </c>
      <c r="X34" s="54">
        <f>-IF((DATEDIF($B$24,$B34,"M"))&lt;'Fee Recovery Calculation'!$J$4,'Fee Recovery Calculation'!$P$6,0)</f>
        <v>0</v>
      </c>
      <c r="Y34" s="107">
        <f t="shared" si="10"/>
        <v>1.8189894035458565E-12</v>
      </c>
      <c r="AA34" s="98"/>
      <c r="AB34" s="54">
        <f>'Fee Recovery Calculation'!$M$7*'Fee Recovery Calculation by MP'!$AP34</f>
        <v>0</v>
      </c>
      <c r="AC34" s="54">
        <f>-IFERROR(IF((DATEDIF($B$24,$B34,"M"))&lt;'Fee Recovery Calculation'!$J$4,'Fee Recovery Calculation'!$N$7,0)/('Fee Recovery Calculation'!$J$7),0)</f>
        <v>0</v>
      </c>
      <c r="AD34" s="54">
        <f>-IF((DATEDIF($B$24,$B34,"M"))&lt;'Fee Recovery Calculation'!$J$4,'Fee Recovery Calculation'!$P$7,0)</f>
        <v>0</v>
      </c>
      <c r="AE34" s="107">
        <f t="shared" si="11"/>
        <v>1.8189894035458565E-12</v>
      </c>
      <c r="AG34" s="98"/>
      <c r="AH34" s="54">
        <f>'Fee Recovery Calculation'!$M$8*'Fee Recovery Calculation by MP'!$AP34</f>
        <v>0</v>
      </c>
      <c r="AI34" s="54">
        <f>-IFERROR(IF((DATEDIF($B$24,$B34,"M"))&lt;'Fee Recovery Calculation'!$J$4,'Fee Recovery Calculation'!$N$8,0)/('Fee Recovery Calculation'!$J$8),0)</f>
        <v>0</v>
      </c>
      <c r="AJ34" s="54">
        <f>-IF((DATEDIF($B$24,$B34,"M"))&lt;'Fee Recovery Calculation'!$J$4,'Fee Recovery Calculation'!$P$8,0)</f>
        <v>0</v>
      </c>
      <c r="AK34" s="107">
        <f t="shared" si="12"/>
        <v>5.0931703299283981E-11</v>
      </c>
      <c r="AM34" s="98"/>
      <c r="AN34" s="110">
        <f>-IF((DATEDIF($B$24,$B34,"M"))&lt;'Fee Recovery Calculation'!$J$4,'Fee Recovery Calculation'!$K$13,0)</f>
        <v>0</v>
      </c>
      <c r="AO34" s="124">
        <f t="shared" si="7"/>
        <v>0</v>
      </c>
      <c r="AP34" s="123">
        <f>IF(ROUND(AN34,0)=0,0,(AO33+SUM($AP$27:AP33))*'Fee Recovery Calculation'!$R$4/12)</f>
        <v>0</v>
      </c>
    </row>
    <row r="35" spans="1:42" x14ac:dyDescent="0.3">
      <c r="A35" s="2" t="s">
        <v>41</v>
      </c>
      <c r="B35" s="52">
        <f t="shared" si="2"/>
        <v>46692</v>
      </c>
      <c r="C35" s="53"/>
      <c r="D35" s="54">
        <f t="shared" si="8"/>
        <v>0</v>
      </c>
      <c r="E35" s="54">
        <f t="shared" si="8"/>
        <v>0</v>
      </c>
      <c r="F35" s="54">
        <f t="shared" si="0"/>
        <v>0</v>
      </c>
      <c r="G35" s="58">
        <f t="shared" si="0"/>
        <v>3.637978807091713E-11</v>
      </c>
      <c r="H35" s="5"/>
      <c r="I35" s="98"/>
      <c r="J35" s="54">
        <f>'Fee Recovery Calculation'!$M$4*'Fee Recovery Calculation by MP'!$AP35</f>
        <v>0</v>
      </c>
      <c r="K35" s="54">
        <f>-IFERROR(IF((DATEDIF($B$24,$B35,"M"))&lt;'Fee Recovery Calculation'!$J$4,'Fee Recovery Calculation'!$N$4,0)/('Fee Recovery Calculation'!$J$4),0)</f>
        <v>0</v>
      </c>
      <c r="L35" s="54">
        <f>-IF((DATEDIF($B$24,$B35,"M"))&lt;'Fee Recovery Calculation'!$J$4,'Fee Recovery Calculation'!$P$4,0)</f>
        <v>0</v>
      </c>
      <c r="M35" s="107">
        <f t="shared" si="13"/>
        <v>0</v>
      </c>
      <c r="O35" s="98"/>
      <c r="P35" s="54">
        <f>'Fee Recovery Calculation'!$M$5*'Fee Recovery Calculation by MP'!$AP35</f>
        <v>0</v>
      </c>
      <c r="Q35" s="54">
        <f>-IFERROR(IF((DATEDIF($B$24,$B35,"M"))&lt;'Fee Recovery Calculation'!$J$4,'Fee Recovery Calculation'!$N$5,0)/('Fee Recovery Calculation'!$J$5),0)</f>
        <v>0</v>
      </c>
      <c r="R35" s="54">
        <f>-IF((DATEDIF($B$24,$B35,"M"))&lt;'Fee Recovery Calculation'!$J$4,'Fee Recovery Calculation'!$P$5,0)</f>
        <v>0</v>
      </c>
      <c r="S35" s="107">
        <f t="shared" si="9"/>
        <v>-1.8189894035458565E-11</v>
      </c>
      <c r="U35" s="98"/>
      <c r="V35" s="54">
        <f>'Fee Recovery Calculation'!$M$6*'Fee Recovery Calculation by MP'!$AP35</f>
        <v>0</v>
      </c>
      <c r="W35" s="54">
        <f>-IFERROR(IF((DATEDIF($B$24,$B35,"M"))&lt;'Fee Recovery Calculation'!$J$4,'Fee Recovery Calculation'!$N$6,0)/('Fee Recovery Calculation'!$J$6),0)</f>
        <v>0</v>
      </c>
      <c r="X35" s="54">
        <f>-IF((DATEDIF($B$24,$B35,"M"))&lt;'Fee Recovery Calculation'!$J$4,'Fee Recovery Calculation'!$P$6,0)</f>
        <v>0</v>
      </c>
      <c r="Y35" s="107">
        <f t="shared" si="10"/>
        <v>1.8189894035458565E-12</v>
      </c>
      <c r="AA35" s="98"/>
      <c r="AB35" s="54">
        <f>'Fee Recovery Calculation'!$M$7*'Fee Recovery Calculation by MP'!$AP35</f>
        <v>0</v>
      </c>
      <c r="AC35" s="54">
        <f>-IFERROR(IF((DATEDIF($B$24,$B35,"M"))&lt;'Fee Recovery Calculation'!$J$4,'Fee Recovery Calculation'!$N$7,0)/('Fee Recovery Calculation'!$J$7),0)</f>
        <v>0</v>
      </c>
      <c r="AD35" s="54">
        <f>-IF((DATEDIF($B$24,$B35,"M"))&lt;'Fee Recovery Calculation'!$J$4,'Fee Recovery Calculation'!$P$7,0)</f>
        <v>0</v>
      </c>
      <c r="AE35" s="107">
        <f t="shared" si="11"/>
        <v>1.8189894035458565E-12</v>
      </c>
      <c r="AG35" s="98"/>
      <c r="AH35" s="54">
        <f>'Fee Recovery Calculation'!$M$8*'Fee Recovery Calculation by MP'!$AP35</f>
        <v>0</v>
      </c>
      <c r="AI35" s="54">
        <f>-IFERROR(IF((DATEDIF($B$24,$B35,"M"))&lt;'Fee Recovery Calculation'!$J$4,'Fee Recovery Calculation'!$N$8,0)/('Fee Recovery Calculation'!$J$8),0)</f>
        <v>0</v>
      </c>
      <c r="AJ35" s="54">
        <f>-IF((DATEDIF($B$24,$B35,"M"))&lt;'Fee Recovery Calculation'!$J$4,'Fee Recovery Calculation'!$P$8,0)</f>
        <v>0</v>
      </c>
      <c r="AK35" s="107">
        <f t="shared" si="12"/>
        <v>5.0931703299283981E-11</v>
      </c>
      <c r="AM35" s="98"/>
      <c r="AN35" s="110">
        <f>-IF((DATEDIF($B$24,$B35,"M"))&lt;'Fee Recovery Calculation'!$J$4,'Fee Recovery Calculation'!$K$13,0)</f>
        <v>0</v>
      </c>
      <c r="AO35" s="124">
        <f t="shared" si="7"/>
        <v>0</v>
      </c>
      <c r="AP35" s="123">
        <f>IF(ROUND(AN35,0)=0,0,(AO34+SUM($AP$27:AP34))*'Fee Recovery Calculation'!$R$4/12)</f>
        <v>0</v>
      </c>
    </row>
    <row r="36" spans="1:42" x14ac:dyDescent="0.3">
      <c r="A36" s="2" t="s">
        <v>41</v>
      </c>
      <c r="B36" s="52">
        <f t="shared" si="2"/>
        <v>46722</v>
      </c>
      <c r="C36" s="53"/>
      <c r="D36" s="54">
        <f t="shared" si="8"/>
        <v>0</v>
      </c>
      <c r="E36" s="54">
        <f t="shared" si="8"/>
        <v>0</v>
      </c>
      <c r="F36" s="54">
        <f t="shared" si="0"/>
        <v>0</v>
      </c>
      <c r="G36" s="58">
        <f t="shared" si="0"/>
        <v>3.637978807091713E-11</v>
      </c>
      <c r="H36" s="5"/>
      <c r="I36" s="98"/>
      <c r="J36" s="54">
        <f>'Fee Recovery Calculation'!$J$4*'Fee Recovery Calculation by MP'!$AP36</f>
        <v>0</v>
      </c>
      <c r="K36" s="54">
        <f>-IFERROR(IF((DATEDIF($B$24,$B36,"M"))&lt;'Fee Recovery Calculation'!$J$4,'Fee Recovery Calculation'!$N$4,0)/('Fee Recovery Calculation'!$J$4),0)</f>
        <v>0</v>
      </c>
      <c r="L36" s="54">
        <f>-IF((DATEDIF($B$24,$B36,"M"))&lt;'Fee Recovery Calculation'!$J$4,'Fee Recovery Calculation'!$P$4,0)</f>
        <v>0</v>
      </c>
      <c r="M36" s="107">
        <f t="shared" si="13"/>
        <v>0</v>
      </c>
      <c r="O36" s="98"/>
      <c r="P36" s="54">
        <f>'Fee Recovery Calculation'!$M$5*'Fee Recovery Calculation by MP'!$AP36</f>
        <v>0</v>
      </c>
      <c r="Q36" s="54">
        <f>-IFERROR(IF((DATEDIF($B$24,$B36,"M"))&lt;'Fee Recovery Calculation'!$J$4,'Fee Recovery Calculation'!$N$5,0)/('Fee Recovery Calculation'!$J$5),0)</f>
        <v>0</v>
      </c>
      <c r="R36" s="54">
        <f>-IF((DATEDIF($B$24,$B36,"M"))&lt;'Fee Recovery Calculation'!$J$4,'Fee Recovery Calculation'!$P$5,0)</f>
        <v>0</v>
      </c>
      <c r="S36" s="107">
        <f t="shared" si="9"/>
        <v>-1.8189894035458565E-11</v>
      </c>
      <c r="U36" s="98"/>
      <c r="V36" s="54">
        <f>'Fee Recovery Calculation'!$M$6*'Fee Recovery Calculation by MP'!$AP36</f>
        <v>0</v>
      </c>
      <c r="W36" s="54">
        <f>-IFERROR(IF((DATEDIF($B$24,$B36,"M"))&lt;'Fee Recovery Calculation'!$J$4,'Fee Recovery Calculation'!$N$6,0)/('Fee Recovery Calculation'!$J$6),0)</f>
        <v>0</v>
      </c>
      <c r="X36" s="54">
        <f>-IF((DATEDIF($B$24,$B36,"M"))&lt;'Fee Recovery Calculation'!$J$4,'Fee Recovery Calculation'!$P$6,0)</f>
        <v>0</v>
      </c>
      <c r="Y36" s="107">
        <f t="shared" si="10"/>
        <v>1.8189894035458565E-12</v>
      </c>
      <c r="AA36" s="98"/>
      <c r="AB36" s="54">
        <f>'Fee Recovery Calculation'!$J$7*'Fee Recovery Calculation by MP'!$AP36</f>
        <v>0</v>
      </c>
      <c r="AC36" s="54">
        <f>-IFERROR(IF((DATEDIF($B$24,$B36,"M"))&lt;'Fee Recovery Calculation'!$J$4,'Fee Recovery Calculation'!$N$7,0)/('Fee Recovery Calculation'!$J$7),0)</f>
        <v>0</v>
      </c>
      <c r="AD36" s="54">
        <f>-IF((DATEDIF($B$24,$B36,"M"))&lt;'Fee Recovery Calculation'!$J$4,'Fee Recovery Calculation'!$P$7,0)</f>
        <v>0</v>
      </c>
      <c r="AE36" s="107">
        <f t="shared" si="11"/>
        <v>1.8189894035458565E-12</v>
      </c>
      <c r="AG36" s="98"/>
      <c r="AH36" s="54">
        <f>'Fee Recovery Calculation'!$J$8*'Fee Recovery Calculation by MP'!$AP36</f>
        <v>0</v>
      </c>
      <c r="AI36" s="54">
        <f>-IFERROR(IF((DATEDIF($B$24,$B36,"M"))&lt;'Fee Recovery Calculation'!$J$4,'Fee Recovery Calculation'!$N$8,0)/('Fee Recovery Calculation'!$J$8),0)</f>
        <v>0</v>
      </c>
      <c r="AJ36" s="54">
        <f>-IF((DATEDIF($B$24,$B36,"M"))&lt;'Fee Recovery Calculation'!$J$4,'Fee Recovery Calculation'!$P$8,0)</f>
        <v>0</v>
      </c>
      <c r="AK36" s="107">
        <f t="shared" si="12"/>
        <v>5.0931703299283981E-11</v>
      </c>
      <c r="AM36" s="98"/>
      <c r="AN36" s="110">
        <f>-IF((DATEDIF($B$24,$B36,"M"))&lt;'Fee Recovery Calculation'!$J$4,'Fee Recovery Calculation'!$K$13,0)</f>
        <v>0</v>
      </c>
      <c r="AO36" s="124">
        <f t="shared" si="7"/>
        <v>0</v>
      </c>
      <c r="AP36" s="123">
        <f>IF(ROUND(AN36,0)=0,0,(AO35+SUM($AP$27:AP35))*'Fee Recovery Calculation'!$R$4/12)</f>
        <v>0</v>
      </c>
    </row>
    <row r="37" spans="1:42" x14ac:dyDescent="0.3">
      <c r="A37" s="2" t="s">
        <v>41</v>
      </c>
      <c r="B37" s="52">
        <f t="shared" si="2"/>
        <v>46753</v>
      </c>
      <c r="C37" s="53"/>
      <c r="D37" s="54">
        <f t="shared" si="8"/>
        <v>0</v>
      </c>
      <c r="E37" s="54">
        <f t="shared" si="8"/>
        <v>0</v>
      </c>
      <c r="F37" s="54">
        <f t="shared" si="0"/>
        <v>0</v>
      </c>
      <c r="G37" s="58">
        <f t="shared" si="0"/>
        <v>3.637978807091713E-11</v>
      </c>
      <c r="H37" s="5"/>
      <c r="I37" s="98"/>
      <c r="J37" s="54">
        <f>'Fee Recovery Calculation'!$J$4*'Fee Recovery Calculation by MP'!$AP37</f>
        <v>0</v>
      </c>
      <c r="K37" s="54">
        <f>-IFERROR(IF((DATEDIF($B$24,$B37,"M"))&lt;'Fee Recovery Calculation'!$J$4,'Fee Recovery Calculation'!$N$4,0)/('Fee Recovery Calculation'!$J$4),0)</f>
        <v>0</v>
      </c>
      <c r="L37" s="54">
        <f>-IF((DATEDIF($B$24,$B37,"M"))&lt;'Fee Recovery Calculation'!$J$4,'Fee Recovery Calculation'!$P$4,0)</f>
        <v>0</v>
      </c>
      <c r="M37" s="107">
        <f t="shared" si="13"/>
        <v>0</v>
      </c>
      <c r="O37" s="98"/>
      <c r="P37" s="54">
        <f>'Fee Recovery Calculation'!$M$5*'Fee Recovery Calculation by MP'!$AP37</f>
        <v>0</v>
      </c>
      <c r="Q37" s="54">
        <f>-IFERROR(IF((DATEDIF($B$24,$B37,"M"))&lt;'Fee Recovery Calculation'!$J$4,'Fee Recovery Calculation'!$N$5,0)/('Fee Recovery Calculation'!$J$5),0)</f>
        <v>0</v>
      </c>
      <c r="R37" s="54">
        <f>-IF((DATEDIF($B$24,$B37,"M"))&lt;'Fee Recovery Calculation'!$J$4,'Fee Recovery Calculation'!$P$5,0)</f>
        <v>0</v>
      </c>
      <c r="S37" s="107">
        <f t="shared" si="9"/>
        <v>-1.8189894035458565E-11</v>
      </c>
      <c r="U37" s="98"/>
      <c r="V37" s="54">
        <f>'Fee Recovery Calculation'!$M$6*'Fee Recovery Calculation by MP'!$AP37</f>
        <v>0</v>
      </c>
      <c r="W37" s="54">
        <f>-IFERROR(IF((DATEDIF($B$24,$B37,"M"))&lt;'Fee Recovery Calculation'!$J$4,'Fee Recovery Calculation'!$N$6,0)/('Fee Recovery Calculation'!$J$6),0)</f>
        <v>0</v>
      </c>
      <c r="X37" s="54">
        <f>-IF((DATEDIF($B$24,$B37,"M"))&lt;'Fee Recovery Calculation'!$J$4,'Fee Recovery Calculation'!$P$6,0)</f>
        <v>0</v>
      </c>
      <c r="Y37" s="107">
        <f t="shared" si="10"/>
        <v>1.8189894035458565E-12</v>
      </c>
      <c r="AA37" s="98"/>
      <c r="AB37" s="54">
        <f>'Fee Recovery Calculation'!$J$7*'Fee Recovery Calculation by MP'!$AP37</f>
        <v>0</v>
      </c>
      <c r="AC37" s="54">
        <f>-IFERROR(IF((DATEDIF($B$24,$B37,"M"))&lt;'Fee Recovery Calculation'!$J$4,'Fee Recovery Calculation'!$N$7,0)/('Fee Recovery Calculation'!$J$7),0)</f>
        <v>0</v>
      </c>
      <c r="AD37" s="54">
        <f>-IF((DATEDIF($B$24,$B37,"M"))&lt;'Fee Recovery Calculation'!$J$4,'Fee Recovery Calculation'!$P$7,0)</f>
        <v>0</v>
      </c>
      <c r="AE37" s="107">
        <f t="shared" si="11"/>
        <v>1.8189894035458565E-12</v>
      </c>
      <c r="AG37" s="98"/>
      <c r="AH37" s="54">
        <f>'Fee Recovery Calculation'!$J$8*'Fee Recovery Calculation by MP'!$AP37</f>
        <v>0</v>
      </c>
      <c r="AI37" s="54">
        <f>-IFERROR(IF((DATEDIF($B$24,$B37,"M"))&lt;'Fee Recovery Calculation'!$J$4,'Fee Recovery Calculation'!$N$8,0)/('Fee Recovery Calculation'!$J$8),0)</f>
        <v>0</v>
      </c>
      <c r="AJ37" s="54">
        <f>-IF((DATEDIF($B$24,$B37,"M"))&lt;'Fee Recovery Calculation'!$J$4,'Fee Recovery Calculation'!$P$8,0)</f>
        <v>0</v>
      </c>
      <c r="AK37" s="107">
        <f t="shared" si="12"/>
        <v>5.0931703299283981E-11</v>
      </c>
      <c r="AM37" s="98"/>
      <c r="AN37" s="110">
        <f>-IF((DATEDIF($B$24,$B37,"M"))&lt;'Fee Recovery Calculation'!$J$4,'Fee Recovery Calculation'!$K$13,0)</f>
        <v>0</v>
      </c>
      <c r="AO37" s="124">
        <f t="shared" si="7"/>
        <v>0</v>
      </c>
      <c r="AP37" s="123">
        <f>IF(ROUND(AN37,0)=0,0,(AO36+SUM($AP$27:AP36))*'Fee Recovery Calculation'!$R$4/12)</f>
        <v>0</v>
      </c>
    </row>
    <row r="38" spans="1:42" x14ac:dyDescent="0.3">
      <c r="A38" s="2" t="s">
        <v>41</v>
      </c>
      <c r="B38" s="52">
        <f t="shared" si="2"/>
        <v>46784</v>
      </c>
      <c r="C38" s="53"/>
      <c r="D38" s="54">
        <f t="shared" si="8"/>
        <v>0</v>
      </c>
      <c r="E38" s="54">
        <f t="shared" si="8"/>
        <v>0</v>
      </c>
      <c r="F38" s="54">
        <f t="shared" si="0"/>
        <v>0</v>
      </c>
      <c r="G38" s="58">
        <f t="shared" si="0"/>
        <v>3.637978807091713E-11</v>
      </c>
      <c r="H38" s="5"/>
      <c r="I38" s="98"/>
      <c r="J38" s="54">
        <f>'Fee Recovery Calculation'!$J$4*'Fee Recovery Calculation by MP'!$AP38</f>
        <v>0</v>
      </c>
      <c r="K38" s="54">
        <f>-IFERROR(IF((DATEDIF($B$24,$B38,"M"))&lt;'Fee Recovery Calculation'!$J$4,'Fee Recovery Calculation'!$N$4,0)/('Fee Recovery Calculation'!$J$4),0)</f>
        <v>0</v>
      </c>
      <c r="L38" s="54">
        <f>-IF((DATEDIF($B$24,$B38,"M"))&lt;'Fee Recovery Calculation'!$J$4,'Fee Recovery Calculation'!$P$4,0)</f>
        <v>0</v>
      </c>
      <c r="M38" s="107">
        <f t="shared" si="13"/>
        <v>0</v>
      </c>
      <c r="O38" s="98"/>
      <c r="P38" s="54">
        <f>'Fee Recovery Calculation'!$M$5*'Fee Recovery Calculation by MP'!$AP38</f>
        <v>0</v>
      </c>
      <c r="Q38" s="54">
        <f>-IFERROR(IF((DATEDIF($B$24,$B38,"M"))&lt;'Fee Recovery Calculation'!$J$4,'Fee Recovery Calculation'!$N$5,0)/('Fee Recovery Calculation'!$J$5),0)</f>
        <v>0</v>
      </c>
      <c r="R38" s="54">
        <f>-IF((DATEDIF($B$24,$B38,"M"))&lt;'Fee Recovery Calculation'!$J$4,'Fee Recovery Calculation'!$P$5,0)</f>
        <v>0</v>
      </c>
      <c r="S38" s="107">
        <f t="shared" si="9"/>
        <v>-1.8189894035458565E-11</v>
      </c>
      <c r="U38" s="98"/>
      <c r="V38" s="54">
        <f>'Fee Recovery Calculation'!$M$6*'Fee Recovery Calculation by MP'!$AP38</f>
        <v>0</v>
      </c>
      <c r="W38" s="54">
        <f>-IFERROR(IF((DATEDIF($B$24,$B38,"M"))&lt;'Fee Recovery Calculation'!$J$4,'Fee Recovery Calculation'!$N$6,0)/('Fee Recovery Calculation'!$J$6),0)</f>
        <v>0</v>
      </c>
      <c r="X38" s="54">
        <f>-IF((DATEDIF($B$24,$B38,"M"))&lt;'Fee Recovery Calculation'!$J$4,'Fee Recovery Calculation'!$P$6,0)</f>
        <v>0</v>
      </c>
      <c r="Y38" s="107">
        <f t="shared" si="10"/>
        <v>1.8189894035458565E-12</v>
      </c>
      <c r="AA38" s="98"/>
      <c r="AB38" s="54">
        <f>'Fee Recovery Calculation'!$J$7*'Fee Recovery Calculation by MP'!$AP38</f>
        <v>0</v>
      </c>
      <c r="AC38" s="54">
        <f>-IFERROR(IF((DATEDIF($B$24,$B38,"M"))&lt;'Fee Recovery Calculation'!$J$4,'Fee Recovery Calculation'!$N$7,0)/('Fee Recovery Calculation'!$J$7),0)</f>
        <v>0</v>
      </c>
      <c r="AD38" s="54">
        <f>-IF((DATEDIF($B$24,$B38,"M"))&lt;'Fee Recovery Calculation'!$J$4,'Fee Recovery Calculation'!$P$7,0)</f>
        <v>0</v>
      </c>
      <c r="AE38" s="107">
        <f t="shared" si="11"/>
        <v>1.8189894035458565E-12</v>
      </c>
      <c r="AG38" s="98"/>
      <c r="AH38" s="54">
        <f>'Fee Recovery Calculation'!$J$8*'Fee Recovery Calculation by MP'!$AP38</f>
        <v>0</v>
      </c>
      <c r="AI38" s="54">
        <f>-IFERROR(IF((DATEDIF($B$24,$B38,"M"))&lt;'Fee Recovery Calculation'!$J$4,'Fee Recovery Calculation'!$N$8,0)/('Fee Recovery Calculation'!$J$8),0)</f>
        <v>0</v>
      </c>
      <c r="AJ38" s="54">
        <f>-IF((DATEDIF($B$24,$B38,"M"))&lt;'Fee Recovery Calculation'!$J$4,'Fee Recovery Calculation'!$P$8,0)</f>
        <v>0</v>
      </c>
      <c r="AK38" s="107">
        <f t="shared" si="12"/>
        <v>5.0931703299283981E-11</v>
      </c>
      <c r="AM38" s="98"/>
      <c r="AN38" s="110">
        <f>-IF((DATEDIF($B$24,$B38,"M"))&lt;'Fee Recovery Calculation'!$J$4,'Fee Recovery Calculation'!$K$13,0)</f>
        <v>0</v>
      </c>
      <c r="AO38" s="124">
        <f t="shared" si="7"/>
        <v>0</v>
      </c>
      <c r="AP38" s="123">
        <f>IF(ROUND(AN38,0)=0,0,(AO37+SUM($AP$27:AP37))*'Fee Recovery Calculation'!$R$4/12)</f>
        <v>0</v>
      </c>
    </row>
    <row r="39" spans="1:42" ht="15" thickBot="1" x14ac:dyDescent="0.35">
      <c r="A39" s="2" t="s">
        <v>41</v>
      </c>
      <c r="B39" s="55">
        <f t="shared" si="2"/>
        <v>46813</v>
      </c>
      <c r="C39" s="56"/>
      <c r="D39" s="57">
        <f t="shared" si="8"/>
        <v>0</v>
      </c>
      <c r="E39" s="57">
        <f t="shared" si="8"/>
        <v>0</v>
      </c>
      <c r="F39" s="57">
        <f t="shared" si="0"/>
        <v>0</v>
      </c>
      <c r="G39" s="59">
        <f t="shared" si="0"/>
        <v>3.637978807091713E-11</v>
      </c>
      <c r="H39" s="5"/>
      <c r="I39" s="99"/>
      <c r="J39" s="57">
        <f>'Fee Recovery Calculation'!$J$4*'Fee Recovery Calculation by MP'!$AP39</f>
        <v>0</v>
      </c>
      <c r="K39" s="57">
        <f>-IFERROR(IF((DATEDIF($B$24,$B39,"M"))&lt;'Fee Recovery Calculation'!$J$4,'Fee Recovery Calculation'!$N$4,0)/('Fee Recovery Calculation'!$J$4),0)</f>
        <v>0</v>
      </c>
      <c r="L39" s="57">
        <f>-IF((DATEDIF($B$24,$B39,"M"))&lt;'Fee Recovery Calculation'!$J$4,'Fee Recovery Calculation'!$P$4,0)</f>
        <v>0</v>
      </c>
      <c r="M39" s="108">
        <f t="shared" si="13"/>
        <v>0</v>
      </c>
      <c r="O39" s="99"/>
      <c r="P39" s="57">
        <f>'Fee Recovery Calculation'!$M$5*'Fee Recovery Calculation by MP'!$AP39</f>
        <v>0</v>
      </c>
      <c r="Q39" s="57">
        <f>-IFERROR(IF((DATEDIF($B$24,$B39,"M"))&lt;'Fee Recovery Calculation'!$J$4,'Fee Recovery Calculation'!$N$5,0)/('Fee Recovery Calculation'!$J$5),0)</f>
        <v>0</v>
      </c>
      <c r="R39" s="57">
        <f>-IF((DATEDIF($B$24,$B39,"M"))&lt;'Fee Recovery Calculation'!$J$4,'Fee Recovery Calculation'!$P$5,0)</f>
        <v>0</v>
      </c>
      <c r="S39" s="108">
        <f t="shared" si="9"/>
        <v>-1.8189894035458565E-11</v>
      </c>
      <c r="U39" s="99"/>
      <c r="V39" s="57">
        <f>'Fee Recovery Calculation'!$M$6*'Fee Recovery Calculation by MP'!$AP39</f>
        <v>0</v>
      </c>
      <c r="W39" s="57">
        <f>-IFERROR(IF((DATEDIF($B$24,$B39,"M"))&lt;'Fee Recovery Calculation'!$J$4,'Fee Recovery Calculation'!$N$6,0)/('Fee Recovery Calculation'!$J$6),0)</f>
        <v>0</v>
      </c>
      <c r="X39" s="57">
        <f>-IF((DATEDIF($B$24,$B39,"M"))&lt;'Fee Recovery Calculation'!$J$4,'Fee Recovery Calculation'!$P$6,0)</f>
        <v>0</v>
      </c>
      <c r="Y39" s="108">
        <f t="shared" si="10"/>
        <v>1.8189894035458565E-12</v>
      </c>
      <c r="AA39" s="99"/>
      <c r="AB39" s="57">
        <f>'Fee Recovery Calculation'!$J$7*'Fee Recovery Calculation by MP'!$AP39</f>
        <v>0</v>
      </c>
      <c r="AC39" s="57">
        <f>-IFERROR(IF((DATEDIF($B$24,$B39,"M"))&lt;'Fee Recovery Calculation'!$J$4,'Fee Recovery Calculation'!$N$7,0)/('Fee Recovery Calculation'!$J$7),0)</f>
        <v>0</v>
      </c>
      <c r="AD39" s="57">
        <f>-IF((DATEDIF($B$24,$B39,"M"))&lt;'Fee Recovery Calculation'!$J$4,'Fee Recovery Calculation'!$P$7,0)</f>
        <v>0</v>
      </c>
      <c r="AE39" s="108">
        <f t="shared" si="11"/>
        <v>1.8189894035458565E-12</v>
      </c>
      <c r="AG39" s="99"/>
      <c r="AH39" s="57">
        <f>'Fee Recovery Calculation'!$J$8*'Fee Recovery Calculation by MP'!$AP39</f>
        <v>0</v>
      </c>
      <c r="AI39" s="57">
        <f>-IFERROR(IF((DATEDIF($B$24,$B39,"M"))&lt;'Fee Recovery Calculation'!$J$4,'Fee Recovery Calculation'!$N$8,0)/('Fee Recovery Calculation'!$J$8),0)</f>
        <v>0</v>
      </c>
      <c r="AJ39" s="57">
        <f>-IF((DATEDIF($B$24,$B39,"M"))&lt;'Fee Recovery Calculation'!$J$4,'Fee Recovery Calculation'!$P$8,0)</f>
        <v>0</v>
      </c>
      <c r="AK39" s="108">
        <f t="shared" si="12"/>
        <v>5.0931703299283981E-11</v>
      </c>
      <c r="AM39" s="99"/>
      <c r="AN39" s="111">
        <f>-IF((DATEDIF($B$24,$B39,"M"))&lt;'Fee Recovery Calculation'!$J$4,'Fee Recovery Calculation'!$K$13,0)</f>
        <v>0</v>
      </c>
      <c r="AO39" s="125">
        <f t="shared" si="7"/>
        <v>0</v>
      </c>
      <c r="AP39" s="126">
        <f>IF(ROUND(AN39,0)=0,0,(AO38+SUM($AP$27:AP38))*'Fee Recovery Calculation'!$R$4/12)</f>
        <v>0</v>
      </c>
    </row>
    <row r="40" spans="1:42" x14ac:dyDescent="0.3">
      <c r="B40" s="7"/>
      <c r="N40" s="5"/>
    </row>
    <row r="41" spans="1:42" x14ac:dyDescent="0.3">
      <c r="B41" s="28" t="s">
        <v>1</v>
      </c>
      <c r="C41" s="5">
        <f t="shared" ref="C41:F41" si="14">SUM(C4:C39)</f>
        <v>20156945</v>
      </c>
      <c r="D41" s="5">
        <f t="shared" si="14"/>
        <v>0</v>
      </c>
      <c r="E41" s="5">
        <f t="shared" si="14"/>
        <v>0</v>
      </c>
      <c r="F41" s="5">
        <f t="shared" si="14"/>
        <v>-20156945</v>
      </c>
      <c r="G41" s="5">
        <f>G39</f>
        <v>3.637978807091713E-11</v>
      </c>
      <c r="I41" s="5">
        <f>SUM(I3:I39)</f>
        <v>19865999.733843554</v>
      </c>
      <c r="J41" s="5">
        <f t="shared" ref="J41:K41" si="15">SUM(J3:J39)</f>
        <v>0</v>
      </c>
      <c r="K41" s="5">
        <f t="shared" si="15"/>
        <v>0</v>
      </c>
      <c r="L41" s="5">
        <f>SUM(L4:L39)</f>
        <v>-19865999.73384355</v>
      </c>
      <c r="M41" s="5">
        <f>M39</f>
        <v>0</v>
      </c>
      <c r="N41" s="5"/>
      <c r="O41" s="5">
        <f>SUM(O3:O39)</f>
        <v>75138.622640298941</v>
      </c>
      <c r="P41" s="5">
        <f t="shared" ref="P41:Q41" si="16">SUM(P3:P39)</f>
        <v>0</v>
      </c>
      <c r="Q41" s="5">
        <f t="shared" si="16"/>
        <v>0</v>
      </c>
      <c r="R41" s="5">
        <f>SUM(R3:R39)</f>
        <v>-75138.622640298971</v>
      </c>
      <c r="S41" s="5">
        <f>S39</f>
        <v>-1.8189894035458565E-11</v>
      </c>
      <c r="U41" s="5">
        <f>SUM(U3:U39)</f>
        <v>17930.032766529206</v>
      </c>
      <c r="V41" s="5">
        <f t="shared" ref="V41:W41" si="17">SUM(V3:V39)</f>
        <v>0</v>
      </c>
      <c r="W41" s="5">
        <f t="shared" si="17"/>
        <v>0</v>
      </c>
      <c r="X41" s="5">
        <f>SUM(X3:X39)</f>
        <v>-17930.032766529202</v>
      </c>
      <c r="Y41" s="5">
        <f>Y39</f>
        <v>1.8189894035458565E-12</v>
      </c>
      <c r="AA41" s="5">
        <f>SUM(AA3:AA39)</f>
        <v>27529.2527427694</v>
      </c>
      <c r="AB41" s="5">
        <f t="shared" ref="AB41:AC41" si="18">SUM(AB3:AB39)</f>
        <v>0</v>
      </c>
      <c r="AC41" s="5">
        <f t="shared" si="18"/>
        <v>0</v>
      </c>
      <c r="AD41" s="5">
        <f>SUM(AD3:AD39)</f>
        <v>-27529.252742769393</v>
      </c>
      <c r="AE41" s="5">
        <f>AE39</f>
        <v>1.8189894035458565E-12</v>
      </c>
      <c r="AG41" s="5">
        <f>SUM(AG3:AG39)</f>
        <v>170347.35800685175</v>
      </c>
      <c r="AH41" s="5">
        <f t="shared" ref="AH41:AJ41" si="19">SUM(AH3:AH39)</f>
        <v>0</v>
      </c>
      <c r="AI41" s="5">
        <f t="shared" si="19"/>
        <v>0</v>
      </c>
      <c r="AJ41" s="5">
        <f t="shared" si="19"/>
        <v>-170347.35800685169</v>
      </c>
      <c r="AK41" s="5">
        <f>AK39</f>
        <v>5.0931703299283981E-11</v>
      </c>
      <c r="AM41" s="127">
        <f>SUM(AM3:AM39)</f>
        <v>20156945</v>
      </c>
      <c r="AN41" s="127">
        <f>SUM(AN3:AN39)</f>
        <v>-20156945</v>
      </c>
      <c r="AO41" s="127">
        <f>AO39</f>
        <v>0</v>
      </c>
      <c r="AP41" s="128">
        <f>SUM(AP27:AP39)</f>
        <v>0</v>
      </c>
    </row>
    <row r="42" spans="1:42" x14ac:dyDescent="0.3">
      <c r="B42" s="7"/>
      <c r="H42" s="8"/>
      <c r="I42" s="8"/>
      <c r="J42" s="8"/>
      <c r="K42" s="8"/>
      <c r="O42" s="8"/>
      <c r="P42" s="8"/>
      <c r="Q42" s="8"/>
      <c r="U42" s="8"/>
      <c r="V42" s="8"/>
      <c r="W42" s="8"/>
      <c r="AA42" s="8"/>
      <c r="AB42" s="8"/>
      <c r="AC42" s="8"/>
      <c r="AG42" s="8"/>
      <c r="AH42" s="8"/>
      <c r="AI42" s="8"/>
    </row>
    <row r="43" spans="1:42" x14ac:dyDescent="0.3">
      <c r="B43" s="7"/>
      <c r="G43" s="8"/>
      <c r="H43" s="8"/>
      <c r="I43" s="8"/>
      <c r="J43" s="8"/>
      <c r="K43" s="8"/>
      <c r="L43" s="5"/>
      <c r="O43" s="8"/>
      <c r="P43" s="8"/>
      <c r="Q43" s="8"/>
      <c r="R43" s="5"/>
      <c r="U43" s="8"/>
      <c r="V43" s="8"/>
      <c r="W43" s="8"/>
      <c r="X43" s="5"/>
      <c r="AA43" s="8"/>
      <c r="AB43" s="8"/>
      <c r="AC43" s="8"/>
      <c r="AD43" s="5"/>
      <c r="AG43" s="8"/>
      <c r="AH43" s="8"/>
      <c r="AI43" s="8"/>
      <c r="AJ43" s="5"/>
    </row>
  </sheetData>
  <mergeCells count="7">
    <mergeCell ref="AM2:AP2"/>
    <mergeCell ref="B2:G2"/>
    <mergeCell ref="I2:M2"/>
    <mergeCell ref="O2:S2"/>
    <mergeCell ref="U2:Y2"/>
    <mergeCell ref="AA2:AE2"/>
    <mergeCell ref="AG2:A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1DAA-331F-41BF-87DC-BC611FE168CF}">
  <sheetPr codeName="Sheet4">
    <tabColor theme="7" tint="0.79998168889431442"/>
  </sheetPr>
  <dimension ref="A1:AW43"/>
  <sheetViews>
    <sheetView zoomScale="115" zoomScaleNormal="115" workbookViewId="0">
      <pane xSplit="2" ySplit="3" topLeftCell="C13" activePane="bottomRight" state="frozen"/>
      <selection pane="topRight" activeCell="C1" sqref="C1"/>
      <selection pane="bottomLeft" activeCell="A4" sqref="A4"/>
      <selection pane="bottomRight" activeCell="A29" sqref="A29"/>
    </sheetView>
  </sheetViews>
  <sheetFormatPr defaultColWidth="8.88671875" defaultRowHeight="14.4" x14ac:dyDescent="0.3"/>
  <cols>
    <col min="1" max="1" width="25.109375" style="2" customWidth="1"/>
    <col min="2" max="2" width="11.109375" style="2" customWidth="1"/>
    <col min="3" max="7" width="13.109375" style="2" customWidth="1"/>
    <col min="8" max="8" width="18.33203125" style="2" customWidth="1"/>
    <col min="9" max="9" width="9.5546875" style="2" customWidth="1"/>
    <col min="10" max="15" width="15.44140625" style="2" customWidth="1"/>
    <col min="16" max="16" width="8.88671875" style="2"/>
    <col min="17" max="22" width="15.44140625" style="2" customWidth="1"/>
    <col min="23" max="23" width="8.88671875" style="2"/>
    <col min="24" max="29" width="15.44140625" style="2" customWidth="1"/>
    <col min="30" max="30" width="8.88671875" style="2"/>
    <col min="31" max="36" width="15.44140625" style="2" customWidth="1"/>
    <col min="37" max="37" width="8.88671875" style="2"/>
    <col min="38" max="43" width="15.44140625" style="2" customWidth="1"/>
    <col min="44" max="44" width="8.88671875" style="2"/>
    <col min="45" max="46" width="14.6640625" style="66" customWidth="1"/>
    <col min="47" max="47" width="14.33203125" style="66" customWidth="1"/>
    <col min="48" max="48" width="13" style="66" bestFit="1" customWidth="1"/>
    <col min="49" max="49" width="13.5546875" style="66" customWidth="1"/>
    <col min="50" max="16384" width="8.88671875" style="2"/>
  </cols>
  <sheetData>
    <row r="1" spans="1:49" s="75" customFormat="1" ht="15" thickBot="1" x14ac:dyDescent="0.35">
      <c r="H1" s="76"/>
      <c r="N1" s="76"/>
      <c r="Q1" s="75" t="str">
        <f>LEFT(Q2,FIND(" ",Q2))</f>
        <v xml:space="preserve">Berwick </v>
      </c>
      <c r="U1" s="76"/>
      <c r="X1" s="75" t="str">
        <f>LEFT(X2,FIND(" ",X2))</f>
        <v xml:space="preserve">Riverport </v>
      </c>
      <c r="AB1" s="76"/>
      <c r="AE1" s="75" t="s">
        <v>28</v>
      </c>
      <c r="AI1" s="76"/>
      <c r="AL1" s="75" t="s">
        <v>29</v>
      </c>
      <c r="AP1" s="76"/>
      <c r="AS1" s="112"/>
      <c r="AT1" s="112"/>
      <c r="AU1" s="112"/>
      <c r="AV1" s="112"/>
      <c r="AW1" s="112"/>
    </row>
    <row r="2" spans="1:49" s="22" customFormat="1" ht="18" thickBot="1" x14ac:dyDescent="0.4">
      <c r="B2" s="219" t="s">
        <v>17</v>
      </c>
      <c r="C2" s="220"/>
      <c r="D2" s="220"/>
      <c r="E2" s="220"/>
      <c r="F2" s="220"/>
      <c r="G2" s="220"/>
      <c r="H2" s="221"/>
      <c r="J2" s="219" t="str">
        <f>Input!B12</f>
        <v>NSPI</v>
      </c>
      <c r="K2" s="220"/>
      <c r="L2" s="220"/>
      <c r="M2" s="220"/>
      <c r="N2" s="220"/>
      <c r="O2" s="221"/>
      <c r="Q2" s="219" t="str">
        <f>Input!B13</f>
        <v>Berwick Electric Commission</v>
      </c>
      <c r="R2" s="220"/>
      <c r="S2" s="220"/>
      <c r="T2" s="220"/>
      <c r="U2" s="220"/>
      <c r="V2" s="221"/>
      <c r="X2" s="219" t="str">
        <f>Input!B14</f>
        <v>Riverport Electric Light Commission</v>
      </c>
      <c r="Y2" s="220"/>
      <c r="Z2" s="220"/>
      <c r="AA2" s="220"/>
      <c r="AB2" s="220"/>
      <c r="AC2" s="221"/>
      <c r="AE2" s="219" t="str">
        <f>Input!B15</f>
        <v>Town of Mahone Bay</v>
      </c>
      <c r="AF2" s="220"/>
      <c r="AG2" s="220"/>
      <c r="AH2" s="220"/>
      <c r="AI2" s="220"/>
      <c r="AJ2" s="221"/>
      <c r="AL2" s="219" t="str">
        <f>Input!B16</f>
        <v>Town of Antigonish</v>
      </c>
      <c r="AM2" s="220"/>
      <c r="AN2" s="220"/>
      <c r="AO2" s="220"/>
      <c r="AP2" s="220"/>
      <c r="AQ2" s="221"/>
      <c r="AS2" s="216" t="s">
        <v>53</v>
      </c>
      <c r="AT2" s="217"/>
      <c r="AU2" s="217"/>
      <c r="AV2" s="217"/>
      <c r="AW2" s="218"/>
    </row>
    <row r="3" spans="1:49" s="20" customFormat="1" ht="43.2" x14ac:dyDescent="0.3">
      <c r="B3" s="30" t="s">
        <v>11</v>
      </c>
      <c r="C3" s="83" t="s">
        <v>8</v>
      </c>
      <c r="D3" s="83" t="s">
        <v>120</v>
      </c>
      <c r="E3" s="83" t="s">
        <v>52</v>
      </c>
      <c r="F3" s="83" t="s">
        <v>54</v>
      </c>
      <c r="G3" s="83" t="s">
        <v>9</v>
      </c>
      <c r="H3" s="31" t="s">
        <v>13</v>
      </c>
      <c r="J3" s="12" t="s">
        <v>7</v>
      </c>
      <c r="K3" s="83" t="s">
        <v>120</v>
      </c>
      <c r="L3" s="83" t="s">
        <v>52</v>
      </c>
      <c r="M3" s="83" t="s">
        <v>54</v>
      </c>
      <c r="N3" s="15" t="s">
        <v>22</v>
      </c>
      <c r="O3" s="103" t="s">
        <v>23</v>
      </c>
      <c r="Q3" s="12" t="str">
        <f>Q1&amp;" Fees"</f>
        <v>Berwick  Fees</v>
      </c>
      <c r="R3" s="83" t="s">
        <v>120</v>
      </c>
      <c r="S3" s="83" t="s">
        <v>52</v>
      </c>
      <c r="T3" s="83" t="s">
        <v>54</v>
      </c>
      <c r="U3" s="15" t="str">
        <f>"Fees Recovered from "&amp;Q1</f>
        <v xml:space="preserve">Fees Recovered from Berwick </v>
      </c>
      <c r="V3" s="103" t="str">
        <f>Q1&amp;"  Month End  Balance"</f>
        <v>Berwick   Month End  Balance</v>
      </c>
      <c r="X3" s="12" t="str">
        <f>X1&amp;" Fees"</f>
        <v>Riverport  Fees</v>
      </c>
      <c r="Y3" s="83" t="s">
        <v>120</v>
      </c>
      <c r="Z3" s="83" t="s">
        <v>52</v>
      </c>
      <c r="AA3" s="83" t="s">
        <v>54</v>
      </c>
      <c r="AB3" s="15" t="str">
        <f>"Fees Recovered from "&amp;X1</f>
        <v xml:space="preserve">Fees Recovered from Riverport </v>
      </c>
      <c r="AC3" s="103" t="str">
        <f>X1&amp;"  Month End  Balance"</f>
        <v>Riverport   Month End  Balance</v>
      </c>
      <c r="AE3" s="12" t="str">
        <f>AE1&amp;" Fees"</f>
        <v>Mahone Bay Fees</v>
      </c>
      <c r="AF3" s="83" t="s">
        <v>120</v>
      </c>
      <c r="AG3" s="83" t="s">
        <v>52</v>
      </c>
      <c r="AH3" s="83" t="s">
        <v>54</v>
      </c>
      <c r="AI3" s="15" t="str">
        <f>"Fees Recovered from "&amp;AE1</f>
        <v>Fees Recovered from Mahone Bay</v>
      </c>
      <c r="AJ3" s="103" t="str">
        <f>AE1&amp;"  Month End  Balance"</f>
        <v>Mahone Bay  Month End  Balance</v>
      </c>
      <c r="AL3" s="12" t="str">
        <f>AL1&amp;" Fees"</f>
        <v>Antigonish Fees</v>
      </c>
      <c r="AM3" s="83" t="s">
        <v>120</v>
      </c>
      <c r="AN3" s="83" t="s">
        <v>52</v>
      </c>
      <c r="AO3" s="83" t="s">
        <v>54</v>
      </c>
      <c r="AP3" s="15" t="str">
        <f>"Fees Recovered from "&amp;AL1</f>
        <v>Fees Recovered from Antigonish</v>
      </c>
      <c r="AQ3" s="103" t="str">
        <f>AL1&amp;"  Month End  Balance"</f>
        <v>Antigonish  Month End  Balance</v>
      </c>
      <c r="AS3" s="113" t="str">
        <f>AS1&amp;" Fees"</f>
        <v xml:space="preserve"> Fees</v>
      </c>
      <c r="AT3" s="191" t="s">
        <v>120</v>
      </c>
      <c r="AU3" s="114" t="str">
        <f>"Fees Recovered from "&amp;AS1</f>
        <v xml:space="preserve">Fees Recovered from </v>
      </c>
      <c r="AV3" s="115" t="str">
        <f>AS1&amp;"  Month End  Balance"</f>
        <v xml:space="preserve">  Month End  Balance</v>
      </c>
      <c r="AW3" s="116" t="s">
        <v>43</v>
      </c>
    </row>
    <row r="4" spans="1:49" x14ac:dyDescent="0.3">
      <c r="A4" s="2" t="s">
        <v>41</v>
      </c>
      <c r="B4" s="32">
        <v>45748</v>
      </c>
      <c r="C4" s="5">
        <f>'Initial Fee Calculation'!$K$16</f>
        <v>442235.33333333331</v>
      </c>
      <c r="D4" s="5"/>
      <c r="E4" s="5"/>
      <c r="F4" s="4"/>
      <c r="G4" s="4">
        <f t="shared" ref="G4:G39" si="0">N4+U4+AB4+AI4+AP4</f>
        <v>0</v>
      </c>
      <c r="H4" s="18">
        <f t="shared" ref="H4:H39" si="1">O4+V4+AC4+AJ4+AQ4</f>
        <v>442235.33333333331</v>
      </c>
      <c r="I4" s="5"/>
      <c r="J4" s="17">
        <f>'Initial Fee Calculation'!$K$6</f>
        <v>435899.79716495838</v>
      </c>
      <c r="K4" s="5"/>
      <c r="L4" s="5"/>
      <c r="M4" s="4"/>
      <c r="N4" s="4">
        <v>0</v>
      </c>
      <c r="O4" s="104">
        <f>J4+N4+M4</f>
        <v>435899.79716495838</v>
      </c>
      <c r="Q4" s="17">
        <f>'Initial Fee Calculation'!$K$7</f>
        <v>1636.1959335798558</v>
      </c>
      <c r="R4" s="5"/>
      <c r="S4" s="5"/>
      <c r="T4" s="4"/>
      <c r="U4" s="4">
        <v>0</v>
      </c>
      <c r="V4" s="104">
        <f>Q4+U4+T4</f>
        <v>1636.1959335798558</v>
      </c>
      <c r="X4" s="17">
        <f>'Initial Fee Calculation'!$K$8</f>
        <v>390.43897360203096</v>
      </c>
      <c r="Y4" s="5"/>
      <c r="Z4" s="5"/>
      <c r="AA4" s="4"/>
      <c r="AB4" s="4">
        <v>0</v>
      </c>
      <c r="AC4" s="104">
        <f>X4+AB4+AA4</f>
        <v>390.43897360203096</v>
      </c>
      <c r="AE4" s="17">
        <f>'Initial Fee Calculation'!$K$9</f>
        <v>599.46868613550294</v>
      </c>
      <c r="AF4" s="5"/>
      <c r="AG4" s="5"/>
      <c r="AH4" s="4"/>
      <c r="AI4" s="4">
        <v>0</v>
      </c>
      <c r="AJ4" s="104">
        <f>AE4+AI4+AH4</f>
        <v>599.46868613550294</v>
      </c>
      <c r="AL4" s="17">
        <f>'Initial Fee Calculation'!$K$10</f>
        <v>3709.4325750575626</v>
      </c>
      <c r="AM4" s="5"/>
      <c r="AN4" s="5"/>
      <c r="AO4" s="4"/>
      <c r="AP4" s="4">
        <v>0</v>
      </c>
      <c r="AQ4" s="104">
        <f>AL4+AP4+AO4</f>
        <v>3709.4325750575626</v>
      </c>
      <c r="AS4" s="117">
        <f>'Initial Fee Calculation'!$K$16</f>
        <v>442235.33333333331</v>
      </c>
      <c r="AT4" s="127"/>
      <c r="AU4" s="118">
        <v>0</v>
      </c>
      <c r="AV4" s="119">
        <f>AS4+AT4+AU4</f>
        <v>442235.33333333331</v>
      </c>
      <c r="AW4" s="120"/>
    </row>
    <row r="5" spans="1:49" x14ac:dyDescent="0.3">
      <c r="A5" s="2" t="s">
        <v>41</v>
      </c>
      <c r="B5" s="32">
        <f>EOMONTH(B4,0)+1</f>
        <v>45778</v>
      </c>
      <c r="C5" s="5">
        <f>'Initial Fee Calculation'!$K$16</f>
        <v>442235.33333333331</v>
      </c>
      <c r="D5" s="5"/>
      <c r="E5" s="5"/>
      <c r="F5" s="4"/>
      <c r="G5" s="4">
        <f t="shared" si="0"/>
        <v>0</v>
      </c>
      <c r="H5" s="18">
        <f t="shared" si="1"/>
        <v>884470.66666666663</v>
      </c>
      <c r="I5" s="5"/>
      <c r="J5" s="17">
        <f>'Initial Fee Calculation'!$K$6</f>
        <v>435899.79716495838</v>
      </c>
      <c r="K5" s="5"/>
      <c r="L5" s="5"/>
      <c r="M5" s="4"/>
      <c r="N5" s="4">
        <v>0</v>
      </c>
      <c r="O5" s="104">
        <f>J5+N5+O4+M5</f>
        <v>871799.59432991676</v>
      </c>
      <c r="Q5" s="17">
        <f>'Initial Fee Calculation'!$K$7</f>
        <v>1636.1959335798558</v>
      </c>
      <c r="R5" s="5"/>
      <c r="S5" s="5"/>
      <c r="T5" s="4"/>
      <c r="U5" s="4">
        <v>0</v>
      </c>
      <c r="V5" s="104">
        <f>Q5+U5+V4+T5</f>
        <v>3272.3918671597116</v>
      </c>
      <c r="X5" s="17">
        <f>'Initial Fee Calculation'!$K$8</f>
        <v>390.43897360203096</v>
      </c>
      <c r="Y5" s="5"/>
      <c r="Z5" s="5"/>
      <c r="AA5" s="4"/>
      <c r="AB5" s="4">
        <v>0</v>
      </c>
      <c r="AC5" s="104">
        <f>X5+AB5+AC4+AA5</f>
        <v>780.87794720406191</v>
      </c>
      <c r="AE5" s="17">
        <f>'Initial Fee Calculation'!$K$9</f>
        <v>599.46868613550294</v>
      </c>
      <c r="AF5" s="5"/>
      <c r="AG5" s="5"/>
      <c r="AH5" s="4"/>
      <c r="AI5" s="4">
        <v>0</v>
      </c>
      <c r="AJ5" s="104">
        <f>AE5+AI5+AJ4+AH5</f>
        <v>1198.9373722710059</v>
      </c>
      <c r="AL5" s="17">
        <f>'Initial Fee Calculation'!$K$10</f>
        <v>3709.4325750575626</v>
      </c>
      <c r="AM5" s="5"/>
      <c r="AN5" s="5"/>
      <c r="AO5" s="4"/>
      <c r="AP5" s="4">
        <v>0</v>
      </c>
      <c r="AQ5" s="104">
        <f>AL5+AP5+AQ4+AO5</f>
        <v>7418.8651501151253</v>
      </c>
      <c r="AS5" s="117">
        <f>'Initial Fee Calculation'!$K$16</f>
        <v>442235.33333333331</v>
      </c>
      <c r="AT5" s="127"/>
      <c r="AU5" s="118">
        <v>0</v>
      </c>
      <c r="AV5" s="119">
        <f t="shared" ref="AV5:AV17" si="2">AS5+AT5+AU5+AV4</f>
        <v>884470.66666666663</v>
      </c>
      <c r="AW5" s="120"/>
    </row>
    <row r="6" spans="1:49" x14ac:dyDescent="0.3">
      <c r="A6" s="2" t="s">
        <v>41</v>
      </c>
      <c r="B6" s="32">
        <f t="shared" ref="B6:B39" si="3">EOMONTH(B5,0)+1</f>
        <v>45809</v>
      </c>
      <c r="C6" s="5">
        <f>'Initial Fee Calculation'!$K$16</f>
        <v>442235.33333333331</v>
      </c>
      <c r="D6" s="5"/>
      <c r="E6" s="5"/>
      <c r="F6" s="4"/>
      <c r="G6" s="4">
        <f t="shared" si="0"/>
        <v>0</v>
      </c>
      <c r="H6" s="18">
        <f t="shared" si="1"/>
        <v>1326706</v>
      </c>
      <c r="I6" s="5"/>
      <c r="J6" s="17">
        <f>'Initial Fee Calculation'!$K$6</f>
        <v>435899.79716495838</v>
      </c>
      <c r="K6" s="5"/>
      <c r="L6" s="5"/>
      <c r="M6" s="4"/>
      <c r="N6" s="4">
        <v>0</v>
      </c>
      <c r="O6" s="104">
        <f t="shared" ref="O6:O22" si="4">J6+N6+O5+M6</f>
        <v>1307699.3914948751</v>
      </c>
      <c r="Q6" s="17">
        <f>'Initial Fee Calculation'!$K$7</f>
        <v>1636.1959335798558</v>
      </c>
      <c r="R6" s="5"/>
      <c r="S6" s="5"/>
      <c r="T6" s="4"/>
      <c r="U6" s="4">
        <v>0</v>
      </c>
      <c r="V6" s="104">
        <f t="shared" ref="V6:V22" si="5">Q6+U6+V5+T6</f>
        <v>4908.5878007395677</v>
      </c>
      <c r="X6" s="17">
        <f>'Initial Fee Calculation'!$K$8</f>
        <v>390.43897360203096</v>
      </c>
      <c r="Y6" s="5"/>
      <c r="Z6" s="5"/>
      <c r="AA6" s="4"/>
      <c r="AB6" s="4">
        <v>0</v>
      </c>
      <c r="AC6" s="104">
        <f t="shared" ref="AC6:AC22" si="6">X6+AB6+AC5+AA6</f>
        <v>1171.3169208060929</v>
      </c>
      <c r="AE6" s="17">
        <f>'Initial Fee Calculation'!$K$9</f>
        <v>599.46868613550294</v>
      </c>
      <c r="AF6" s="5"/>
      <c r="AG6" s="5"/>
      <c r="AH6" s="4"/>
      <c r="AI6" s="4">
        <v>0</v>
      </c>
      <c r="AJ6" s="104">
        <f t="shared" ref="AJ6:AJ22" si="7">AE6+AI6+AJ5+AH6</f>
        <v>1798.4060584065087</v>
      </c>
      <c r="AL6" s="17">
        <f>'Initial Fee Calculation'!$K$10</f>
        <v>3709.4325750575626</v>
      </c>
      <c r="AM6" s="5"/>
      <c r="AN6" s="5"/>
      <c r="AO6" s="4"/>
      <c r="AP6" s="4">
        <v>0</v>
      </c>
      <c r="AQ6" s="104">
        <f t="shared" ref="AQ6:AQ22" si="8">AL6+AP6+AQ5+AO6</f>
        <v>11128.297725172688</v>
      </c>
      <c r="AS6" s="117">
        <f>'Initial Fee Calculation'!$K$16</f>
        <v>442235.33333333331</v>
      </c>
      <c r="AT6" s="127"/>
      <c r="AU6" s="118">
        <v>0</v>
      </c>
      <c r="AV6" s="119">
        <f t="shared" si="2"/>
        <v>1326706</v>
      </c>
      <c r="AW6" s="120"/>
    </row>
    <row r="7" spans="1:49" x14ac:dyDescent="0.3">
      <c r="A7" s="2" t="s">
        <v>41</v>
      </c>
      <c r="B7" s="32">
        <f t="shared" si="3"/>
        <v>45839</v>
      </c>
      <c r="C7" s="5">
        <f>'Initial Fee Calculation'!$K$16</f>
        <v>442235.33333333331</v>
      </c>
      <c r="D7" s="5"/>
      <c r="E7" s="5"/>
      <c r="F7" s="4"/>
      <c r="G7" s="4">
        <f t="shared" si="0"/>
        <v>0</v>
      </c>
      <c r="H7" s="18">
        <f t="shared" si="1"/>
        <v>1768941.3333333333</v>
      </c>
      <c r="I7" s="5"/>
      <c r="J7" s="17">
        <f>'Initial Fee Calculation'!$K$6</f>
        <v>435899.79716495838</v>
      </c>
      <c r="K7" s="5"/>
      <c r="L7" s="5"/>
      <c r="M7" s="4"/>
      <c r="N7" s="4">
        <v>0</v>
      </c>
      <c r="O7" s="104">
        <f t="shared" si="4"/>
        <v>1743599.1886598335</v>
      </c>
      <c r="Q7" s="17">
        <f>'Initial Fee Calculation'!$K$7</f>
        <v>1636.1959335798558</v>
      </c>
      <c r="R7" s="5"/>
      <c r="S7" s="5"/>
      <c r="T7" s="4"/>
      <c r="U7" s="4">
        <v>0</v>
      </c>
      <c r="V7" s="104">
        <f t="shared" si="5"/>
        <v>6544.7837343194233</v>
      </c>
      <c r="X7" s="17">
        <f>'Initial Fee Calculation'!$K$8</f>
        <v>390.43897360203096</v>
      </c>
      <c r="Y7" s="5"/>
      <c r="Z7" s="5"/>
      <c r="AA7" s="4"/>
      <c r="AB7" s="4">
        <v>0</v>
      </c>
      <c r="AC7" s="104">
        <f t="shared" si="6"/>
        <v>1561.7558944081238</v>
      </c>
      <c r="AE7" s="17">
        <f>'Initial Fee Calculation'!$K$9</f>
        <v>599.46868613550294</v>
      </c>
      <c r="AF7" s="5"/>
      <c r="AG7" s="5"/>
      <c r="AH7" s="4"/>
      <c r="AI7" s="4">
        <v>0</v>
      </c>
      <c r="AJ7" s="104">
        <f t="shared" si="7"/>
        <v>2397.8747445420117</v>
      </c>
      <c r="AL7" s="17">
        <f>'Initial Fee Calculation'!$K$10</f>
        <v>3709.4325750575626</v>
      </c>
      <c r="AM7" s="5"/>
      <c r="AN7" s="5"/>
      <c r="AO7" s="4"/>
      <c r="AP7" s="4">
        <v>0</v>
      </c>
      <c r="AQ7" s="104">
        <f t="shared" si="8"/>
        <v>14837.730300230251</v>
      </c>
      <c r="AS7" s="117">
        <f>'Initial Fee Calculation'!$K$16</f>
        <v>442235.33333333331</v>
      </c>
      <c r="AT7" s="127"/>
      <c r="AU7" s="118">
        <v>0</v>
      </c>
      <c r="AV7" s="119">
        <f t="shared" si="2"/>
        <v>1768941.3333333333</v>
      </c>
      <c r="AW7" s="120"/>
    </row>
    <row r="8" spans="1:49" x14ac:dyDescent="0.3">
      <c r="A8" s="2" t="s">
        <v>41</v>
      </c>
      <c r="B8" s="32">
        <f t="shared" si="3"/>
        <v>45870</v>
      </c>
      <c r="C8" s="5">
        <f>'Initial Fee Calculation'!$K$16</f>
        <v>442235.33333333331</v>
      </c>
      <c r="D8" s="5"/>
      <c r="E8" s="5"/>
      <c r="F8" s="4"/>
      <c r="G8" s="4">
        <f t="shared" si="0"/>
        <v>0</v>
      </c>
      <c r="H8" s="18">
        <f t="shared" si="1"/>
        <v>2211176.666666666</v>
      </c>
      <c r="I8" s="5"/>
      <c r="J8" s="17">
        <f>'Initial Fee Calculation'!$K$6</f>
        <v>435899.79716495838</v>
      </c>
      <c r="K8" s="5"/>
      <c r="L8" s="5"/>
      <c r="M8" s="4"/>
      <c r="N8" s="4">
        <v>0</v>
      </c>
      <c r="O8" s="104">
        <f t="shared" si="4"/>
        <v>2179498.9858247917</v>
      </c>
      <c r="Q8" s="17">
        <f>'Initial Fee Calculation'!$K$7</f>
        <v>1636.1959335798558</v>
      </c>
      <c r="R8" s="5"/>
      <c r="S8" s="5"/>
      <c r="T8" s="4"/>
      <c r="U8" s="4">
        <v>0</v>
      </c>
      <c r="V8" s="104">
        <f t="shared" si="5"/>
        <v>8180.9796678992789</v>
      </c>
      <c r="X8" s="17">
        <f>'Initial Fee Calculation'!$K$8</f>
        <v>390.43897360203096</v>
      </c>
      <c r="Y8" s="5"/>
      <c r="Z8" s="5"/>
      <c r="AA8" s="4"/>
      <c r="AB8" s="4">
        <v>0</v>
      </c>
      <c r="AC8" s="104">
        <f t="shared" si="6"/>
        <v>1952.1948680101548</v>
      </c>
      <c r="AE8" s="17">
        <f>'Initial Fee Calculation'!$K$9</f>
        <v>599.46868613550294</v>
      </c>
      <c r="AF8" s="5"/>
      <c r="AG8" s="5"/>
      <c r="AH8" s="4"/>
      <c r="AI8" s="4">
        <v>0</v>
      </c>
      <c r="AJ8" s="104">
        <f t="shared" si="7"/>
        <v>2997.3434306775148</v>
      </c>
      <c r="AL8" s="17">
        <f>'Initial Fee Calculation'!$K$10</f>
        <v>3709.4325750575626</v>
      </c>
      <c r="AM8" s="5"/>
      <c r="AN8" s="5"/>
      <c r="AO8" s="4"/>
      <c r="AP8" s="4">
        <v>0</v>
      </c>
      <c r="AQ8" s="104">
        <f t="shared" si="8"/>
        <v>18547.162875287813</v>
      </c>
      <c r="AS8" s="117">
        <f>'Initial Fee Calculation'!$K$16</f>
        <v>442235.33333333331</v>
      </c>
      <c r="AT8" s="127"/>
      <c r="AU8" s="118">
        <v>0</v>
      </c>
      <c r="AV8" s="119">
        <f t="shared" si="2"/>
        <v>2211176.6666666665</v>
      </c>
      <c r="AW8" s="120"/>
    </row>
    <row r="9" spans="1:49" x14ac:dyDescent="0.3">
      <c r="A9" s="2" t="s">
        <v>41</v>
      </c>
      <c r="B9" s="32">
        <f t="shared" si="3"/>
        <v>45901</v>
      </c>
      <c r="C9" s="5">
        <f>'Initial Fee Calculation'!$K$16</f>
        <v>442235.33333333331</v>
      </c>
      <c r="D9" s="5"/>
      <c r="E9" s="5"/>
      <c r="F9" s="4"/>
      <c r="G9" s="4">
        <f t="shared" si="0"/>
        <v>0</v>
      </c>
      <c r="H9" s="18">
        <f t="shared" si="1"/>
        <v>2653412</v>
      </c>
      <c r="I9" s="5"/>
      <c r="J9" s="17">
        <f>'Initial Fee Calculation'!$K$6</f>
        <v>435899.79716495838</v>
      </c>
      <c r="K9" s="5"/>
      <c r="L9" s="5"/>
      <c r="M9" s="4"/>
      <c r="N9" s="4">
        <v>0</v>
      </c>
      <c r="O9" s="104">
        <f t="shared" si="4"/>
        <v>2615398.7829897502</v>
      </c>
      <c r="Q9" s="17">
        <f>'Initial Fee Calculation'!$K$7</f>
        <v>1636.1959335798558</v>
      </c>
      <c r="R9" s="5"/>
      <c r="S9" s="5"/>
      <c r="T9" s="4"/>
      <c r="U9" s="4">
        <v>0</v>
      </c>
      <c r="V9" s="104">
        <f t="shared" si="5"/>
        <v>9817.1756014791354</v>
      </c>
      <c r="X9" s="17">
        <f>'Initial Fee Calculation'!$K$8</f>
        <v>390.43897360203096</v>
      </c>
      <c r="Y9" s="5"/>
      <c r="Z9" s="5"/>
      <c r="AA9" s="4"/>
      <c r="AB9" s="4">
        <v>0</v>
      </c>
      <c r="AC9" s="104">
        <f t="shared" si="6"/>
        <v>2342.6338416121857</v>
      </c>
      <c r="AE9" s="17">
        <f>'Initial Fee Calculation'!$K$9</f>
        <v>599.46868613550294</v>
      </c>
      <c r="AF9" s="5"/>
      <c r="AG9" s="5"/>
      <c r="AH9" s="4"/>
      <c r="AI9" s="4">
        <v>0</v>
      </c>
      <c r="AJ9" s="104">
        <f t="shared" si="7"/>
        <v>3596.8121168130178</v>
      </c>
      <c r="AL9" s="17">
        <f>'Initial Fee Calculation'!$K$10</f>
        <v>3709.4325750575626</v>
      </c>
      <c r="AM9" s="5"/>
      <c r="AN9" s="5"/>
      <c r="AO9" s="4"/>
      <c r="AP9" s="4">
        <v>0</v>
      </c>
      <c r="AQ9" s="104">
        <f t="shared" si="8"/>
        <v>22256.595450345376</v>
      </c>
      <c r="AS9" s="117">
        <f>'Initial Fee Calculation'!$K$16</f>
        <v>442235.33333333331</v>
      </c>
      <c r="AT9" s="127"/>
      <c r="AU9" s="118">
        <v>0</v>
      </c>
      <c r="AV9" s="119">
        <f t="shared" si="2"/>
        <v>2653412</v>
      </c>
      <c r="AW9" s="120"/>
    </row>
    <row r="10" spans="1:49" x14ac:dyDescent="0.3">
      <c r="A10" s="2" t="s">
        <v>41</v>
      </c>
      <c r="B10" s="32">
        <f t="shared" si="3"/>
        <v>45931</v>
      </c>
      <c r="C10" s="5">
        <f>'Initial Fee Calculation'!$K$16</f>
        <v>442235.33333333331</v>
      </c>
      <c r="D10" s="5"/>
      <c r="E10" s="5"/>
      <c r="F10" s="4"/>
      <c r="G10" s="4">
        <f t="shared" si="0"/>
        <v>0</v>
      </c>
      <c r="H10" s="18">
        <f t="shared" si="1"/>
        <v>3095647.3333333335</v>
      </c>
      <c r="I10" s="5"/>
      <c r="J10" s="17">
        <f>'Initial Fee Calculation'!$K$6</f>
        <v>435899.79716495838</v>
      </c>
      <c r="K10" s="5"/>
      <c r="L10" s="5"/>
      <c r="M10" s="4"/>
      <c r="N10" s="4">
        <v>0</v>
      </c>
      <c r="O10" s="104">
        <f t="shared" si="4"/>
        <v>3051298.5801547086</v>
      </c>
      <c r="Q10" s="17">
        <f>'Initial Fee Calculation'!$K$7</f>
        <v>1636.1959335798558</v>
      </c>
      <c r="R10" s="5"/>
      <c r="S10" s="5"/>
      <c r="T10" s="4"/>
      <c r="U10" s="4">
        <v>0</v>
      </c>
      <c r="V10" s="104">
        <f t="shared" si="5"/>
        <v>11453.371535058992</v>
      </c>
      <c r="X10" s="17">
        <f>'Initial Fee Calculation'!$K$8</f>
        <v>390.43897360203096</v>
      </c>
      <c r="Y10" s="5"/>
      <c r="Z10" s="5"/>
      <c r="AA10" s="4"/>
      <c r="AB10" s="4">
        <v>0</v>
      </c>
      <c r="AC10" s="104">
        <f t="shared" si="6"/>
        <v>2733.0728152142165</v>
      </c>
      <c r="AE10" s="17">
        <f>'Initial Fee Calculation'!$K$9</f>
        <v>599.46868613550294</v>
      </c>
      <c r="AF10" s="5"/>
      <c r="AG10" s="5"/>
      <c r="AH10" s="4"/>
      <c r="AI10" s="4">
        <v>0</v>
      </c>
      <c r="AJ10" s="104">
        <f t="shared" si="7"/>
        <v>4196.2808029485204</v>
      </c>
      <c r="AL10" s="17">
        <f>'Initial Fee Calculation'!$K$10</f>
        <v>3709.4325750575626</v>
      </c>
      <c r="AM10" s="5"/>
      <c r="AN10" s="5"/>
      <c r="AO10" s="4"/>
      <c r="AP10" s="4">
        <v>0</v>
      </c>
      <c r="AQ10" s="104">
        <f t="shared" si="8"/>
        <v>25966.028025402939</v>
      </c>
      <c r="AS10" s="117">
        <f>'Initial Fee Calculation'!$K$16</f>
        <v>442235.33333333331</v>
      </c>
      <c r="AT10" s="127"/>
      <c r="AU10" s="118">
        <v>0</v>
      </c>
      <c r="AV10" s="119">
        <f t="shared" si="2"/>
        <v>3095647.3333333335</v>
      </c>
      <c r="AW10" s="120"/>
    </row>
    <row r="11" spans="1:49" x14ac:dyDescent="0.3">
      <c r="A11" s="2" t="s">
        <v>41</v>
      </c>
      <c r="B11" s="32">
        <f t="shared" si="3"/>
        <v>45962</v>
      </c>
      <c r="C11" s="5">
        <f>'Initial Fee Calculation'!$K$16</f>
        <v>442235.33333333331</v>
      </c>
      <c r="D11" s="5"/>
      <c r="E11" s="5"/>
      <c r="F11" s="4"/>
      <c r="G11" s="4">
        <f t="shared" si="0"/>
        <v>0</v>
      </c>
      <c r="H11" s="18">
        <f t="shared" si="1"/>
        <v>3537882.6666666665</v>
      </c>
      <c r="I11" s="5"/>
      <c r="J11" s="17">
        <f>'Initial Fee Calculation'!$K$6</f>
        <v>435899.79716495838</v>
      </c>
      <c r="K11" s="5"/>
      <c r="L11" s="5"/>
      <c r="M11" s="4"/>
      <c r="N11" s="4">
        <v>0</v>
      </c>
      <c r="O11" s="104">
        <f t="shared" si="4"/>
        <v>3487198.377319667</v>
      </c>
      <c r="Q11" s="17">
        <f>'Initial Fee Calculation'!$K$7</f>
        <v>1636.1959335798558</v>
      </c>
      <c r="R11" s="5"/>
      <c r="S11" s="5"/>
      <c r="T11" s="4"/>
      <c r="U11" s="4">
        <v>0</v>
      </c>
      <c r="V11" s="104">
        <f t="shared" si="5"/>
        <v>13089.567468638848</v>
      </c>
      <c r="X11" s="17">
        <f>'Initial Fee Calculation'!$K$8</f>
        <v>390.43897360203096</v>
      </c>
      <c r="Y11" s="5"/>
      <c r="Z11" s="5"/>
      <c r="AA11" s="4"/>
      <c r="AB11" s="4">
        <v>0</v>
      </c>
      <c r="AC11" s="104">
        <f t="shared" si="6"/>
        <v>3123.5117888162476</v>
      </c>
      <c r="AE11" s="17">
        <f>'Initial Fee Calculation'!$K$9</f>
        <v>599.46868613550294</v>
      </c>
      <c r="AF11" s="5"/>
      <c r="AG11" s="5"/>
      <c r="AH11" s="4"/>
      <c r="AI11" s="4">
        <v>0</v>
      </c>
      <c r="AJ11" s="104">
        <f t="shared" si="7"/>
        <v>4795.7494890840235</v>
      </c>
      <c r="AL11" s="17">
        <f>'Initial Fee Calculation'!$K$10</f>
        <v>3709.4325750575626</v>
      </c>
      <c r="AM11" s="5"/>
      <c r="AN11" s="5"/>
      <c r="AO11" s="4"/>
      <c r="AP11" s="4">
        <v>0</v>
      </c>
      <c r="AQ11" s="104">
        <f t="shared" si="8"/>
        <v>29675.460600460501</v>
      </c>
      <c r="AS11" s="117">
        <f>'Initial Fee Calculation'!$K$16</f>
        <v>442235.33333333331</v>
      </c>
      <c r="AT11" s="127"/>
      <c r="AU11" s="118">
        <v>0</v>
      </c>
      <c r="AV11" s="119">
        <f t="shared" si="2"/>
        <v>3537882.666666667</v>
      </c>
      <c r="AW11" s="120"/>
    </row>
    <row r="12" spans="1:49" x14ac:dyDescent="0.3">
      <c r="A12" s="2" t="s">
        <v>41</v>
      </c>
      <c r="B12" s="32">
        <f t="shared" si="3"/>
        <v>45992</v>
      </c>
      <c r="C12" s="5">
        <f>'Initial Fee Calculation'!$K$16</f>
        <v>442235.33333333331</v>
      </c>
      <c r="D12" s="5"/>
      <c r="E12" s="5"/>
      <c r="F12" s="4"/>
      <c r="G12" s="4">
        <f t="shared" si="0"/>
        <v>0</v>
      </c>
      <c r="H12" s="18">
        <f t="shared" si="1"/>
        <v>3980118</v>
      </c>
      <c r="I12" s="5"/>
      <c r="J12" s="17">
        <f>'Initial Fee Calculation'!$K$6</f>
        <v>435899.79716495838</v>
      </c>
      <c r="K12" s="5"/>
      <c r="L12" s="5"/>
      <c r="M12" s="4"/>
      <c r="N12" s="4">
        <v>0</v>
      </c>
      <c r="O12" s="104">
        <f t="shared" si="4"/>
        <v>3923098.1744846255</v>
      </c>
      <c r="Q12" s="17">
        <f>'Initial Fee Calculation'!$K$7</f>
        <v>1636.1959335798558</v>
      </c>
      <c r="R12" s="5"/>
      <c r="S12" s="5"/>
      <c r="T12" s="4"/>
      <c r="U12" s="4">
        <v>0</v>
      </c>
      <c r="V12" s="104">
        <f t="shared" si="5"/>
        <v>14725.763402218705</v>
      </c>
      <c r="X12" s="17">
        <f>'Initial Fee Calculation'!$K$8</f>
        <v>390.43897360203096</v>
      </c>
      <c r="Y12" s="5"/>
      <c r="Z12" s="5"/>
      <c r="AA12" s="4"/>
      <c r="AB12" s="4">
        <v>0</v>
      </c>
      <c r="AC12" s="104">
        <f t="shared" si="6"/>
        <v>3513.9507624182788</v>
      </c>
      <c r="AE12" s="17">
        <f>'Initial Fee Calculation'!$K$9</f>
        <v>599.46868613550294</v>
      </c>
      <c r="AF12" s="5"/>
      <c r="AG12" s="5"/>
      <c r="AH12" s="4"/>
      <c r="AI12" s="4">
        <v>0</v>
      </c>
      <c r="AJ12" s="104">
        <f t="shared" si="7"/>
        <v>5395.2181752195265</v>
      </c>
      <c r="AL12" s="17">
        <f>'Initial Fee Calculation'!$K$10</f>
        <v>3709.4325750575626</v>
      </c>
      <c r="AM12" s="5"/>
      <c r="AN12" s="5"/>
      <c r="AO12" s="4"/>
      <c r="AP12" s="4">
        <v>0</v>
      </c>
      <c r="AQ12" s="104">
        <f t="shared" si="8"/>
        <v>33384.893175518067</v>
      </c>
      <c r="AS12" s="117">
        <f>'Initial Fee Calculation'!$K$16</f>
        <v>442235.33333333331</v>
      </c>
      <c r="AT12" s="127"/>
      <c r="AU12" s="118">
        <v>0</v>
      </c>
      <c r="AV12" s="119">
        <f t="shared" si="2"/>
        <v>3980118.0000000005</v>
      </c>
      <c r="AW12" s="120"/>
    </row>
    <row r="13" spans="1:49" x14ac:dyDescent="0.3">
      <c r="A13" s="2" t="s">
        <v>41</v>
      </c>
      <c r="B13" s="32">
        <f t="shared" si="3"/>
        <v>46023</v>
      </c>
      <c r="C13" s="5">
        <f>'Initial Fee Calculation'!$K$16</f>
        <v>442235.33333333331</v>
      </c>
      <c r="D13" s="5"/>
      <c r="E13" s="5"/>
      <c r="F13" s="4"/>
      <c r="G13" s="4">
        <f t="shared" si="0"/>
        <v>0</v>
      </c>
      <c r="H13" s="18">
        <f t="shared" si="1"/>
        <v>4422353.3333333321</v>
      </c>
      <c r="I13" s="5"/>
      <c r="J13" s="17">
        <f>'Initial Fee Calculation'!$K$6</f>
        <v>435899.79716495838</v>
      </c>
      <c r="K13" s="5"/>
      <c r="L13" s="5"/>
      <c r="M13" s="4"/>
      <c r="N13" s="4">
        <v>0</v>
      </c>
      <c r="O13" s="104">
        <f t="shared" si="4"/>
        <v>4358997.9716495834</v>
      </c>
      <c r="Q13" s="17">
        <f>'Initial Fee Calculation'!$K$7</f>
        <v>1636.1959335798558</v>
      </c>
      <c r="R13" s="5"/>
      <c r="S13" s="5"/>
      <c r="T13" s="4"/>
      <c r="U13" s="4">
        <v>0</v>
      </c>
      <c r="V13" s="104">
        <f t="shared" si="5"/>
        <v>16361.959335798561</v>
      </c>
      <c r="X13" s="17">
        <f>'Initial Fee Calculation'!$K$8</f>
        <v>390.43897360203096</v>
      </c>
      <c r="Y13" s="5"/>
      <c r="Z13" s="5"/>
      <c r="AA13" s="4"/>
      <c r="AB13" s="4">
        <v>0</v>
      </c>
      <c r="AC13" s="104">
        <f t="shared" si="6"/>
        <v>3904.38973602031</v>
      </c>
      <c r="AE13" s="17">
        <f>'Initial Fee Calculation'!$K$9</f>
        <v>599.46868613550294</v>
      </c>
      <c r="AF13" s="5"/>
      <c r="AG13" s="5"/>
      <c r="AH13" s="4"/>
      <c r="AI13" s="4">
        <v>0</v>
      </c>
      <c r="AJ13" s="104">
        <f t="shared" si="7"/>
        <v>5994.6868613550296</v>
      </c>
      <c r="AL13" s="17">
        <f>'Initial Fee Calculation'!$K$10</f>
        <v>3709.4325750575626</v>
      </c>
      <c r="AM13" s="5"/>
      <c r="AN13" s="5"/>
      <c r="AO13" s="4"/>
      <c r="AP13" s="4">
        <v>0</v>
      </c>
      <c r="AQ13" s="104">
        <f t="shared" si="8"/>
        <v>37094.325750575634</v>
      </c>
      <c r="AS13" s="117">
        <f>'Initial Fee Calculation'!$K$16</f>
        <v>442235.33333333331</v>
      </c>
      <c r="AT13" s="127"/>
      <c r="AU13" s="118">
        <v>0</v>
      </c>
      <c r="AV13" s="119">
        <f t="shared" si="2"/>
        <v>4422353.333333334</v>
      </c>
      <c r="AW13" s="120"/>
    </row>
    <row r="14" spans="1:49" x14ac:dyDescent="0.3">
      <c r="A14" s="2" t="s">
        <v>41</v>
      </c>
      <c r="B14" s="32">
        <f t="shared" si="3"/>
        <v>46054</v>
      </c>
      <c r="C14" s="5">
        <f>'Initial Fee Calculation'!$K$16</f>
        <v>442235.33333333331</v>
      </c>
      <c r="D14" s="5"/>
      <c r="E14" s="4"/>
      <c r="F14" s="4"/>
      <c r="G14" s="4">
        <f t="shared" si="0"/>
        <v>-950000</v>
      </c>
      <c r="H14" s="18">
        <f t="shared" si="1"/>
        <v>3914588.666666666</v>
      </c>
      <c r="I14" s="5"/>
      <c r="J14" s="17">
        <f>'Initial Fee Calculation'!$K$6</f>
        <v>435899.79716495838</v>
      </c>
      <c r="K14" s="5"/>
      <c r="L14" s="4"/>
      <c r="M14" s="4"/>
      <c r="N14" s="4">
        <v>-950000</v>
      </c>
      <c r="O14" s="104">
        <f t="shared" si="4"/>
        <v>3844897.7688145419</v>
      </c>
      <c r="Q14" s="17">
        <f>'Initial Fee Calculation'!$K$7</f>
        <v>1636.1959335798558</v>
      </c>
      <c r="R14" s="5"/>
      <c r="S14" s="4"/>
      <c r="T14" s="4"/>
      <c r="U14" s="4">
        <v>0</v>
      </c>
      <c r="V14" s="104">
        <f t="shared" si="5"/>
        <v>17998.155269378418</v>
      </c>
      <c r="X14" s="17">
        <f>'Initial Fee Calculation'!$K$8</f>
        <v>390.43897360203096</v>
      </c>
      <c r="Y14" s="5"/>
      <c r="Z14" s="4"/>
      <c r="AA14" s="4"/>
      <c r="AB14" s="4">
        <v>0</v>
      </c>
      <c r="AC14" s="104">
        <f t="shared" si="6"/>
        <v>4294.8287096223412</v>
      </c>
      <c r="AE14" s="17">
        <f>'Initial Fee Calculation'!$K$9</f>
        <v>599.46868613550294</v>
      </c>
      <c r="AF14" s="5"/>
      <c r="AG14" s="4"/>
      <c r="AH14" s="4"/>
      <c r="AI14" s="4">
        <v>0</v>
      </c>
      <c r="AJ14" s="104">
        <f t="shared" si="7"/>
        <v>6594.1555474905326</v>
      </c>
      <c r="AL14" s="17">
        <f>'Initial Fee Calculation'!$K$10</f>
        <v>3709.4325750575626</v>
      </c>
      <c r="AM14" s="5"/>
      <c r="AN14" s="4"/>
      <c r="AO14" s="4"/>
      <c r="AP14" s="4">
        <v>0</v>
      </c>
      <c r="AQ14" s="104">
        <f t="shared" si="8"/>
        <v>40803.7583256332</v>
      </c>
      <c r="AS14" s="117">
        <f>'Initial Fee Calculation'!$K$16</f>
        <v>442235.33333333331</v>
      </c>
      <c r="AT14" s="127"/>
      <c r="AU14" s="118">
        <f>-Input!$C$24</f>
        <v>-950000</v>
      </c>
      <c r="AV14" s="119">
        <f t="shared" si="2"/>
        <v>3914588.6666666674</v>
      </c>
      <c r="AW14" s="120"/>
    </row>
    <row r="15" spans="1:49" x14ac:dyDescent="0.3">
      <c r="A15" s="2" t="s">
        <v>41</v>
      </c>
      <c r="B15" s="72">
        <f t="shared" si="3"/>
        <v>46082</v>
      </c>
      <c r="C15" s="10">
        <f>'Initial Fee Calculation'!$K$16</f>
        <v>442235.33333333331</v>
      </c>
      <c r="D15" s="10"/>
      <c r="E15" s="9"/>
      <c r="F15" s="9"/>
      <c r="G15" s="9">
        <f t="shared" si="0"/>
        <v>-950000</v>
      </c>
      <c r="H15" s="73">
        <f t="shared" si="1"/>
        <v>3406823.9999999995</v>
      </c>
      <c r="I15" s="5"/>
      <c r="J15" s="74">
        <f>'Initial Fee Calculation'!$K$6</f>
        <v>435899.79716495838</v>
      </c>
      <c r="K15" s="10"/>
      <c r="L15" s="9"/>
      <c r="M15" s="9"/>
      <c r="N15" s="9">
        <v>-950000</v>
      </c>
      <c r="O15" s="105">
        <f t="shared" si="4"/>
        <v>3330797.5659795003</v>
      </c>
      <c r="Q15" s="74">
        <f>'Initial Fee Calculation'!$K$7</f>
        <v>1636.1959335798558</v>
      </c>
      <c r="R15" s="10"/>
      <c r="S15" s="9"/>
      <c r="T15" s="9"/>
      <c r="U15" s="9">
        <v>0</v>
      </c>
      <c r="V15" s="105">
        <f t="shared" si="5"/>
        <v>19634.351202958274</v>
      </c>
      <c r="X15" s="74">
        <f>'Initial Fee Calculation'!$K$8</f>
        <v>390.43897360203096</v>
      </c>
      <c r="Y15" s="10"/>
      <c r="Z15" s="9"/>
      <c r="AA15" s="9"/>
      <c r="AB15" s="9">
        <v>0</v>
      </c>
      <c r="AC15" s="105">
        <f t="shared" si="6"/>
        <v>4685.2676832243724</v>
      </c>
      <c r="AE15" s="74">
        <f>'Initial Fee Calculation'!$K$9</f>
        <v>599.46868613550294</v>
      </c>
      <c r="AF15" s="10"/>
      <c r="AG15" s="9"/>
      <c r="AH15" s="9"/>
      <c r="AI15" s="9">
        <v>0</v>
      </c>
      <c r="AJ15" s="105">
        <f t="shared" si="7"/>
        <v>7193.6242336260357</v>
      </c>
      <c r="AL15" s="74">
        <f>'Initial Fee Calculation'!$K$10</f>
        <v>3709.4325750575626</v>
      </c>
      <c r="AM15" s="10"/>
      <c r="AN15" s="9"/>
      <c r="AO15" s="9"/>
      <c r="AP15" s="9">
        <v>0</v>
      </c>
      <c r="AQ15" s="105">
        <f t="shared" si="8"/>
        <v>44513.190900690766</v>
      </c>
      <c r="AS15" s="117">
        <f>'Initial Fee Calculation'!$K$16</f>
        <v>442235.33333333331</v>
      </c>
      <c r="AT15" s="127"/>
      <c r="AU15" s="118">
        <f>-Input!$C$24</f>
        <v>-950000</v>
      </c>
      <c r="AV15" s="119">
        <f t="shared" si="2"/>
        <v>3406824.0000000009</v>
      </c>
      <c r="AW15" s="120"/>
    </row>
    <row r="16" spans="1:49" x14ac:dyDescent="0.3">
      <c r="A16" s="2" t="s">
        <v>26</v>
      </c>
      <c r="B16" s="32">
        <f t="shared" si="3"/>
        <v>46113</v>
      </c>
      <c r="C16" s="5">
        <f>'Initial Fee Calculation'!$L$16</f>
        <v>1237510.0833333333</v>
      </c>
      <c r="D16" s="5"/>
      <c r="E16" s="4"/>
      <c r="F16" s="4"/>
      <c r="G16" s="4">
        <f t="shared" si="0"/>
        <v>-950000</v>
      </c>
      <c r="H16" s="18">
        <f t="shared" si="1"/>
        <v>3694334.0833333326</v>
      </c>
      <c r="I16" s="5"/>
      <c r="J16" s="17">
        <f>'Initial Fee Calculation'!$L$6</f>
        <v>1219600.1806553374</v>
      </c>
      <c r="K16" s="5"/>
      <c r="L16" s="4"/>
      <c r="M16" s="4"/>
      <c r="N16" s="4">
        <v>-950000</v>
      </c>
      <c r="O16" s="104">
        <f t="shared" si="4"/>
        <v>3600397.7466348377</v>
      </c>
      <c r="Q16" s="17">
        <f>'Initial Fee Calculation'!$L$7</f>
        <v>4625.3559531117244</v>
      </c>
      <c r="R16" s="5"/>
      <c r="S16" s="4"/>
      <c r="T16" s="4"/>
      <c r="U16" s="4">
        <v>0</v>
      </c>
      <c r="V16" s="104">
        <f t="shared" si="5"/>
        <v>24259.707156069999</v>
      </c>
      <c r="X16" s="17">
        <f>'Initial Fee Calculation'!$L$8</f>
        <v>1103.7304236087359</v>
      </c>
      <c r="Y16" s="5"/>
      <c r="Z16" s="4"/>
      <c r="AA16" s="4"/>
      <c r="AB16" s="4">
        <v>0</v>
      </c>
      <c r="AC16" s="104">
        <f t="shared" si="6"/>
        <v>5788.9981068331081</v>
      </c>
      <c r="AE16" s="17">
        <f>'Initial Fee Calculation'!$L$9</f>
        <v>1694.6357090952797</v>
      </c>
      <c r="AF16" s="5"/>
      <c r="AG16" s="4"/>
      <c r="AH16" s="4"/>
      <c r="AI16" s="4">
        <v>0</v>
      </c>
      <c r="AJ16" s="104">
        <f t="shared" si="7"/>
        <v>8888.2599427213154</v>
      </c>
      <c r="AL16" s="17">
        <f>'Initial Fee Calculation'!$L$10</f>
        <v>10486.180592180079</v>
      </c>
      <c r="AM16" s="5"/>
      <c r="AN16" s="4"/>
      <c r="AO16" s="4"/>
      <c r="AP16" s="4">
        <v>0</v>
      </c>
      <c r="AQ16" s="104">
        <f t="shared" si="8"/>
        <v>54999.371492870843</v>
      </c>
      <c r="AS16" s="117">
        <f>'Initial Fee Calculation'!$L$16</f>
        <v>1237510.0833333333</v>
      </c>
      <c r="AT16" s="127"/>
      <c r="AU16" s="118">
        <f>-Input!$C$24</f>
        <v>-950000</v>
      </c>
      <c r="AV16" s="119">
        <f t="shared" si="2"/>
        <v>3694334.083333334</v>
      </c>
      <c r="AW16" s="120"/>
    </row>
    <row r="17" spans="1:49" x14ac:dyDescent="0.3">
      <c r="A17" s="2" t="s">
        <v>41</v>
      </c>
      <c r="B17" s="32">
        <f t="shared" si="3"/>
        <v>46143</v>
      </c>
      <c r="C17" s="5">
        <f>'Initial Fee Calculation'!$L$16</f>
        <v>1237510.0833333333</v>
      </c>
      <c r="D17" s="5"/>
      <c r="E17" s="4"/>
      <c r="F17" s="4"/>
      <c r="G17" s="4">
        <f t="shared" si="0"/>
        <v>-950000</v>
      </c>
      <c r="H17" s="18">
        <f t="shared" si="1"/>
        <v>3981844.166666666</v>
      </c>
      <c r="I17" s="5"/>
      <c r="J17" s="17">
        <f>'Initial Fee Calculation'!$L$6</f>
        <v>1219600.1806553374</v>
      </c>
      <c r="K17" s="5"/>
      <c r="L17" s="4"/>
      <c r="M17" s="4"/>
      <c r="N17" s="4">
        <v>-950000</v>
      </c>
      <c r="O17" s="104">
        <f t="shared" si="4"/>
        <v>3869997.9272901751</v>
      </c>
      <c r="Q17" s="17">
        <f>'Initial Fee Calculation'!$L$7</f>
        <v>4625.3559531117244</v>
      </c>
      <c r="R17" s="5"/>
      <c r="S17" s="4"/>
      <c r="T17" s="4"/>
      <c r="U17" s="4">
        <v>0</v>
      </c>
      <c r="V17" s="104">
        <f t="shared" si="5"/>
        <v>28885.063109181723</v>
      </c>
      <c r="X17" s="17">
        <f>'Initial Fee Calculation'!$L$8</f>
        <v>1103.7304236087359</v>
      </c>
      <c r="Y17" s="5"/>
      <c r="Z17" s="4"/>
      <c r="AA17" s="4"/>
      <c r="AB17" s="4">
        <v>0</v>
      </c>
      <c r="AC17" s="104">
        <f t="shared" si="6"/>
        <v>6892.7285304418438</v>
      </c>
      <c r="AE17" s="17">
        <f>'Initial Fee Calculation'!$L$9</f>
        <v>1694.6357090952797</v>
      </c>
      <c r="AF17" s="5"/>
      <c r="AG17" s="4"/>
      <c r="AH17" s="4"/>
      <c r="AI17" s="4">
        <v>0</v>
      </c>
      <c r="AJ17" s="104">
        <f t="shared" si="7"/>
        <v>10582.895651816594</v>
      </c>
      <c r="AL17" s="17">
        <f>'Initial Fee Calculation'!$L$10</f>
        <v>10486.180592180079</v>
      </c>
      <c r="AM17" s="5"/>
      <c r="AN17" s="4"/>
      <c r="AO17" s="4"/>
      <c r="AP17" s="4">
        <v>0</v>
      </c>
      <c r="AQ17" s="104">
        <f t="shared" si="8"/>
        <v>65485.55208505092</v>
      </c>
      <c r="AS17" s="117">
        <f>'Initial Fee Calculation'!$L$16</f>
        <v>1237510.0833333333</v>
      </c>
      <c r="AT17" s="127"/>
      <c r="AU17" s="118">
        <f>-Input!$C$24</f>
        <v>-950000</v>
      </c>
      <c r="AV17" s="119">
        <f t="shared" si="2"/>
        <v>3981844.166666667</v>
      </c>
      <c r="AW17" s="120"/>
    </row>
    <row r="18" spans="1:49" x14ac:dyDescent="0.3">
      <c r="A18" s="2" t="s">
        <v>41</v>
      </c>
      <c r="B18" s="32">
        <f t="shared" si="3"/>
        <v>46174</v>
      </c>
      <c r="C18" s="5">
        <f>'Initial Fee Calculation'!$L$16</f>
        <v>1237510.0833333333</v>
      </c>
      <c r="D18" s="5"/>
      <c r="E18" s="4"/>
      <c r="F18" s="4"/>
      <c r="G18" s="4">
        <f t="shared" si="0"/>
        <v>-950000</v>
      </c>
      <c r="H18" s="18">
        <f t="shared" si="1"/>
        <v>4269354.2499999991</v>
      </c>
      <c r="I18" s="5"/>
      <c r="J18" s="17">
        <f>'Initial Fee Calculation'!$L$6</f>
        <v>1219600.1806553374</v>
      </c>
      <c r="K18" s="5"/>
      <c r="L18" s="4"/>
      <c r="M18" s="4"/>
      <c r="N18" s="4">
        <v>-950000</v>
      </c>
      <c r="O18" s="104">
        <f t="shared" si="4"/>
        <v>4139598.1079455125</v>
      </c>
      <c r="Q18" s="17">
        <f>'Initial Fee Calculation'!$L$7</f>
        <v>4625.3559531117244</v>
      </c>
      <c r="R18" s="5"/>
      <c r="S18" s="4"/>
      <c r="T18" s="4"/>
      <c r="U18" s="4">
        <v>0</v>
      </c>
      <c r="V18" s="104">
        <f t="shared" si="5"/>
        <v>33510.419062293447</v>
      </c>
      <c r="X18" s="17">
        <f>'Initial Fee Calculation'!$L$8</f>
        <v>1103.7304236087359</v>
      </c>
      <c r="Y18" s="5"/>
      <c r="Z18" s="4"/>
      <c r="AA18" s="4"/>
      <c r="AB18" s="4">
        <v>0</v>
      </c>
      <c r="AC18" s="104">
        <f t="shared" si="6"/>
        <v>7996.4589540505795</v>
      </c>
      <c r="AE18" s="17">
        <f>'Initial Fee Calculation'!$L$9</f>
        <v>1694.6357090952797</v>
      </c>
      <c r="AF18" s="5"/>
      <c r="AG18" s="4"/>
      <c r="AH18" s="4"/>
      <c r="AI18" s="4">
        <v>0</v>
      </c>
      <c r="AJ18" s="104">
        <f t="shared" si="7"/>
        <v>12277.531360911875</v>
      </c>
      <c r="AL18" s="17">
        <f>'Initial Fee Calculation'!$L$10</f>
        <v>10486.180592180079</v>
      </c>
      <c r="AM18" s="5"/>
      <c r="AN18" s="4"/>
      <c r="AO18" s="4"/>
      <c r="AP18" s="4">
        <v>0</v>
      </c>
      <c r="AQ18" s="104">
        <f t="shared" si="8"/>
        <v>75971.732677231004</v>
      </c>
      <c r="AS18" s="117">
        <f>'Initial Fee Calculation'!$L$16</f>
        <v>1237510.0833333333</v>
      </c>
      <c r="AT18" s="127"/>
      <c r="AU18" s="118">
        <f>-Input!$C$24</f>
        <v>-950000</v>
      </c>
      <c r="AV18" s="119">
        <f>AS18+AT18+AU18+AV17</f>
        <v>4269354.25</v>
      </c>
      <c r="AW18" s="120"/>
    </row>
    <row r="19" spans="1:49" x14ac:dyDescent="0.3">
      <c r="A19" s="2" t="s">
        <v>41</v>
      </c>
      <c r="B19" s="32">
        <f t="shared" si="3"/>
        <v>46204</v>
      </c>
      <c r="C19" s="5">
        <f>'Initial Fee Calculation'!$L$16</f>
        <v>1237510.0833333333</v>
      </c>
      <c r="D19" s="5"/>
      <c r="E19" s="4"/>
      <c r="F19" s="4"/>
      <c r="G19" s="4">
        <f t="shared" si="0"/>
        <v>-950000</v>
      </c>
      <c r="H19" s="18">
        <f t="shared" si="1"/>
        <v>4556864.3333333321</v>
      </c>
      <c r="I19" s="5"/>
      <c r="J19" s="17">
        <f>'Initial Fee Calculation'!$L$6</f>
        <v>1219600.1806553374</v>
      </c>
      <c r="K19" s="5"/>
      <c r="L19" s="4"/>
      <c r="M19" s="4"/>
      <c r="N19" s="4">
        <v>-950000</v>
      </c>
      <c r="O19" s="104">
        <f t="shared" si="4"/>
        <v>4409198.2886008499</v>
      </c>
      <c r="Q19" s="17">
        <f>'Initial Fee Calculation'!$L$7</f>
        <v>4625.3559531117244</v>
      </c>
      <c r="R19" s="5"/>
      <c r="S19" s="4"/>
      <c r="T19" s="4"/>
      <c r="U19" s="4">
        <v>0</v>
      </c>
      <c r="V19" s="104">
        <f t="shared" si="5"/>
        <v>38135.775015405176</v>
      </c>
      <c r="X19" s="17">
        <f>'Initial Fee Calculation'!$L$8</f>
        <v>1103.7304236087359</v>
      </c>
      <c r="Y19" s="5"/>
      <c r="Z19" s="4"/>
      <c r="AA19" s="4"/>
      <c r="AB19" s="4">
        <v>0</v>
      </c>
      <c r="AC19" s="104">
        <f t="shared" si="6"/>
        <v>9100.1893776593151</v>
      </c>
      <c r="AE19" s="17">
        <f>'Initial Fee Calculation'!$L$9</f>
        <v>1694.6357090952797</v>
      </c>
      <c r="AF19" s="5"/>
      <c r="AG19" s="4"/>
      <c r="AH19" s="4"/>
      <c r="AI19" s="4">
        <v>0</v>
      </c>
      <c r="AJ19" s="104">
        <f t="shared" si="7"/>
        <v>13972.167070007155</v>
      </c>
      <c r="AL19" s="17">
        <f>'Initial Fee Calculation'!$L$10</f>
        <v>10486.180592180079</v>
      </c>
      <c r="AM19" s="5"/>
      <c r="AN19" s="4"/>
      <c r="AO19" s="4"/>
      <c r="AP19" s="4">
        <v>0</v>
      </c>
      <c r="AQ19" s="104">
        <f t="shared" si="8"/>
        <v>86457.913269411089</v>
      </c>
      <c r="AS19" s="117">
        <f>'Initial Fee Calculation'!$L$16</f>
        <v>1237510.0833333333</v>
      </c>
      <c r="AT19" s="127"/>
      <c r="AU19" s="118">
        <f>-Input!$C$24</f>
        <v>-950000</v>
      </c>
      <c r="AV19" s="119">
        <f t="shared" ref="AV19:AV38" si="9">AS19+AT19+AU19+AV18</f>
        <v>4556864.333333333</v>
      </c>
      <c r="AW19" s="120"/>
    </row>
    <row r="20" spans="1:49" x14ac:dyDescent="0.3">
      <c r="A20" s="2" t="s">
        <v>41</v>
      </c>
      <c r="B20" s="32">
        <f t="shared" si="3"/>
        <v>46235</v>
      </c>
      <c r="C20" s="5">
        <f>'Initial Fee Calculation'!$L$16</f>
        <v>1237510.0833333333</v>
      </c>
      <c r="D20" s="5"/>
      <c r="E20" s="4"/>
      <c r="F20" s="4"/>
      <c r="G20" s="4">
        <f t="shared" si="0"/>
        <v>-950000</v>
      </c>
      <c r="H20" s="18">
        <f t="shared" si="1"/>
        <v>4844374.4166666651</v>
      </c>
      <c r="I20" s="5"/>
      <c r="J20" s="17">
        <f>'Initial Fee Calculation'!$L$6</f>
        <v>1219600.1806553374</v>
      </c>
      <c r="K20" s="5"/>
      <c r="L20" s="4"/>
      <c r="M20" s="4"/>
      <c r="N20" s="4">
        <v>-950000</v>
      </c>
      <c r="O20" s="104">
        <f t="shared" si="4"/>
        <v>4678798.4692561869</v>
      </c>
      <c r="Q20" s="17">
        <f>'Initial Fee Calculation'!$L$7</f>
        <v>4625.3559531117244</v>
      </c>
      <c r="R20" s="5"/>
      <c r="S20" s="4"/>
      <c r="T20" s="4"/>
      <c r="U20" s="4">
        <v>0</v>
      </c>
      <c r="V20" s="104">
        <f t="shared" si="5"/>
        <v>42761.130968516896</v>
      </c>
      <c r="X20" s="17">
        <f>'Initial Fee Calculation'!$L$8</f>
        <v>1103.7304236087359</v>
      </c>
      <c r="Y20" s="5"/>
      <c r="Z20" s="4"/>
      <c r="AA20" s="4"/>
      <c r="AB20" s="4">
        <v>0</v>
      </c>
      <c r="AC20" s="104">
        <f t="shared" si="6"/>
        <v>10203.919801268052</v>
      </c>
      <c r="AE20" s="17">
        <f>'Initial Fee Calculation'!$L$9</f>
        <v>1694.6357090952797</v>
      </c>
      <c r="AF20" s="5"/>
      <c r="AG20" s="4"/>
      <c r="AH20" s="4"/>
      <c r="AI20" s="4">
        <v>0</v>
      </c>
      <c r="AJ20" s="104">
        <f t="shared" si="7"/>
        <v>15666.802779102436</v>
      </c>
      <c r="AL20" s="17">
        <f>'Initial Fee Calculation'!$L$10</f>
        <v>10486.180592180079</v>
      </c>
      <c r="AM20" s="5"/>
      <c r="AN20" s="4"/>
      <c r="AO20" s="4"/>
      <c r="AP20" s="4">
        <v>0</v>
      </c>
      <c r="AQ20" s="104">
        <f t="shared" si="8"/>
        <v>96944.093861591173</v>
      </c>
      <c r="AS20" s="117">
        <f>'Initial Fee Calculation'!$L$16</f>
        <v>1237510.0833333333</v>
      </c>
      <c r="AT20" s="127"/>
      <c r="AU20" s="118">
        <f>-Input!$C$24</f>
        <v>-950000</v>
      </c>
      <c r="AV20" s="119">
        <f t="shared" si="9"/>
        <v>4844374.416666666</v>
      </c>
      <c r="AW20" s="120"/>
    </row>
    <row r="21" spans="1:49" x14ac:dyDescent="0.3">
      <c r="A21" s="2" t="s">
        <v>41</v>
      </c>
      <c r="B21" s="32">
        <f t="shared" si="3"/>
        <v>46266</v>
      </c>
      <c r="C21" s="5">
        <f>'Initial Fee Calculation'!$L$16</f>
        <v>1237510.0833333333</v>
      </c>
      <c r="D21" s="5"/>
      <c r="E21" s="4"/>
      <c r="F21" s="4"/>
      <c r="G21" s="4">
        <f t="shared" si="0"/>
        <v>-950000</v>
      </c>
      <c r="H21" s="18">
        <f t="shared" si="1"/>
        <v>5131884.4999999991</v>
      </c>
      <c r="I21" s="5"/>
      <c r="J21" s="17">
        <f>'Initial Fee Calculation'!$L$6</f>
        <v>1219600.1806553374</v>
      </c>
      <c r="K21" s="5"/>
      <c r="L21" s="4"/>
      <c r="M21" s="4"/>
      <c r="N21" s="4">
        <v>-950000</v>
      </c>
      <c r="O21" s="104">
        <f t="shared" si="4"/>
        <v>4948398.6499115247</v>
      </c>
      <c r="Q21" s="17">
        <f>'Initial Fee Calculation'!$L$7</f>
        <v>4625.3559531117244</v>
      </c>
      <c r="R21" s="5"/>
      <c r="S21" s="4"/>
      <c r="T21" s="4"/>
      <c r="U21" s="4">
        <v>0</v>
      </c>
      <c r="V21" s="104">
        <f t="shared" si="5"/>
        <v>47386.486921628617</v>
      </c>
      <c r="X21" s="17">
        <f>'Initial Fee Calculation'!$L$8</f>
        <v>1103.7304236087359</v>
      </c>
      <c r="Y21" s="5"/>
      <c r="Z21" s="4"/>
      <c r="AA21" s="4"/>
      <c r="AB21" s="4">
        <v>0</v>
      </c>
      <c r="AC21" s="104">
        <f t="shared" si="6"/>
        <v>11307.650224876788</v>
      </c>
      <c r="AE21" s="17">
        <f>'Initial Fee Calculation'!$L$9</f>
        <v>1694.6357090952797</v>
      </c>
      <c r="AF21" s="5"/>
      <c r="AG21" s="4"/>
      <c r="AH21" s="4"/>
      <c r="AI21" s="4">
        <v>0</v>
      </c>
      <c r="AJ21" s="104">
        <f t="shared" si="7"/>
        <v>17361.438488197717</v>
      </c>
      <c r="AL21" s="17">
        <f>'Initial Fee Calculation'!$L$10</f>
        <v>10486.180592180079</v>
      </c>
      <c r="AM21" s="5"/>
      <c r="AN21" s="4"/>
      <c r="AO21" s="4"/>
      <c r="AP21" s="4">
        <v>0</v>
      </c>
      <c r="AQ21" s="104">
        <f t="shared" si="8"/>
        <v>107430.27445377126</v>
      </c>
      <c r="AS21" s="117">
        <f>'Initial Fee Calculation'!$L$16</f>
        <v>1237510.0833333333</v>
      </c>
      <c r="AT21" s="127"/>
      <c r="AU21" s="118">
        <f>-Input!$C$24</f>
        <v>-950000</v>
      </c>
      <c r="AV21" s="119">
        <f t="shared" si="9"/>
        <v>5131884.4999999991</v>
      </c>
      <c r="AW21" s="120"/>
    </row>
    <row r="22" spans="1:49" x14ac:dyDescent="0.3">
      <c r="A22" s="2" t="s">
        <v>41</v>
      </c>
      <c r="B22" s="32">
        <f t="shared" si="3"/>
        <v>46296</v>
      </c>
      <c r="C22" s="5">
        <f>'Initial Fee Calculation'!$L$16</f>
        <v>1237510.0833333333</v>
      </c>
      <c r="D22" s="5"/>
      <c r="E22" s="4"/>
      <c r="F22" s="4"/>
      <c r="G22" s="4">
        <f t="shared" si="0"/>
        <v>-950000</v>
      </c>
      <c r="H22" s="18">
        <f t="shared" si="1"/>
        <v>5419394.583333333</v>
      </c>
      <c r="I22" s="5"/>
      <c r="J22" s="17">
        <f>'Initial Fee Calculation'!$L$6</f>
        <v>1219600.1806553374</v>
      </c>
      <c r="K22" s="5"/>
      <c r="L22" s="4"/>
      <c r="M22" s="4"/>
      <c r="N22" s="4">
        <v>-950000</v>
      </c>
      <c r="O22" s="104">
        <f t="shared" si="4"/>
        <v>5217998.8305668626</v>
      </c>
      <c r="Q22" s="17">
        <f>'Initial Fee Calculation'!$L$7</f>
        <v>4625.3559531117244</v>
      </c>
      <c r="R22" s="5"/>
      <c r="S22" s="4"/>
      <c r="T22" s="4"/>
      <c r="U22" s="4">
        <v>0</v>
      </c>
      <c r="V22" s="104">
        <f t="shared" si="5"/>
        <v>52011.842874740338</v>
      </c>
      <c r="X22" s="17">
        <f>'Initial Fee Calculation'!$L$8</f>
        <v>1103.7304236087359</v>
      </c>
      <c r="Y22" s="5"/>
      <c r="Z22" s="4"/>
      <c r="AA22" s="4"/>
      <c r="AB22" s="4">
        <v>0</v>
      </c>
      <c r="AC22" s="104">
        <f t="shared" si="6"/>
        <v>12411.380648485525</v>
      </c>
      <c r="AE22" s="17">
        <f>'Initial Fee Calculation'!$L$9</f>
        <v>1694.6357090952797</v>
      </c>
      <c r="AF22" s="5"/>
      <c r="AG22" s="4"/>
      <c r="AH22" s="4"/>
      <c r="AI22" s="4">
        <v>0</v>
      </c>
      <c r="AJ22" s="104">
        <f t="shared" si="7"/>
        <v>19056.074197292997</v>
      </c>
      <c r="AL22" s="17">
        <f>'Initial Fee Calculation'!$L$10</f>
        <v>10486.180592180079</v>
      </c>
      <c r="AM22" s="5"/>
      <c r="AN22" s="4"/>
      <c r="AO22" s="4"/>
      <c r="AP22" s="4">
        <v>0</v>
      </c>
      <c r="AQ22" s="104">
        <f t="shared" si="8"/>
        <v>117916.45504595134</v>
      </c>
      <c r="AS22" s="117">
        <f>'Initial Fee Calculation'!$L$16</f>
        <v>1237510.0833333333</v>
      </c>
      <c r="AT22" s="127"/>
      <c r="AU22" s="118">
        <f>-Input!$C$24</f>
        <v>-950000</v>
      </c>
      <c r="AV22" s="119">
        <f t="shared" si="9"/>
        <v>5419394.5833333321</v>
      </c>
      <c r="AW22" s="120"/>
    </row>
    <row r="23" spans="1:49" x14ac:dyDescent="0.3">
      <c r="A23" s="2" t="s">
        <v>41</v>
      </c>
      <c r="B23" s="32">
        <f t="shared" si="3"/>
        <v>46327</v>
      </c>
      <c r="C23" s="5">
        <f>'Initial Fee Calculation'!$L$16</f>
        <v>1237510.0833333333</v>
      </c>
      <c r="D23" s="5"/>
      <c r="E23" s="4"/>
      <c r="F23" s="4"/>
      <c r="G23" s="4">
        <f t="shared" si="0"/>
        <v>-950000</v>
      </c>
      <c r="H23" s="18">
        <f t="shared" si="1"/>
        <v>5706904.666666667</v>
      </c>
      <c r="I23" s="5"/>
      <c r="J23" s="17">
        <f>'Initial Fee Calculation'!$L$6</f>
        <v>1219600.1806553374</v>
      </c>
      <c r="K23" s="5"/>
      <c r="L23" s="4"/>
      <c r="M23" s="4"/>
      <c r="N23" s="4">
        <v>-950000</v>
      </c>
      <c r="O23" s="104">
        <f>J23+N23+O22+M23</f>
        <v>5487599.0112222005</v>
      </c>
      <c r="Q23" s="17">
        <f>'Initial Fee Calculation'!$L$7</f>
        <v>4625.3559531117244</v>
      </c>
      <c r="R23" s="5"/>
      <c r="S23" s="4"/>
      <c r="T23" s="4"/>
      <c r="U23" s="4">
        <v>0</v>
      </c>
      <c r="V23" s="104">
        <f>Q23+U23+V22+T23</f>
        <v>56637.198827852058</v>
      </c>
      <c r="X23" s="17">
        <f>'Initial Fee Calculation'!$L$8</f>
        <v>1103.7304236087359</v>
      </c>
      <c r="Y23" s="5"/>
      <c r="Z23" s="4"/>
      <c r="AA23" s="4"/>
      <c r="AB23" s="4">
        <v>0</v>
      </c>
      <c r="AC23" s="104">
        <f>X23+AB23+AC22+AA23</f>
        <v>13515.111072094262</v>
      </c>
      <c r="AE23" s="17">
        <f>'Initial Fee Calculation'!$L$9</f>
        <v>1694.6357090952797</v>
      </c>
      <c r="AF23" s="5"/>
      <c r="AG23" s="4"/>
      <c r="AH23" s="4"/>
      <c r="AI23" s="4">
        <v>0</v>
      </c>
      <c r="AJ23" s="104">
        <f>AE23+AI23+AJ22+AH23</f>
        <v>20750.709906388278</v>
      </c>
      <c r="AL23" s="17">
        <f>'Initial Fee Calculation'!$L$10</f>
        <v>10486.180592180079</v>
      </c>
      <c r="AM23" s="5"/>
      <c r="AN23" s="4"/>
      <c r="AO23" s="4"/>
      <c r="AP23" s="4">
        <v>0</v>
      </c>
      <c r="AQ23" s="104">
        <f>AL23+AP23+AQ22+AO23</f>
        <v>128402.63563813143</v>
      </c>
      <c r="AS23" s="117">
        <f>'Initial Fee Calculation'!$L$16</f>
        <v>1237510.0833333333</v>
      </c>
      <c r="AT23" s="127"/>
      <c r="AU23" s="118">
        <f>-Input!$C$24</f>
        <v>-950000</v>
      </c>
      <c r="AV23" s="119">
        <f t="shared" si="9"/>
        <v>5706904.6666666651</v>
      </c>
      <c r="AW23" s="120"/>
    </row>
    <row r="24" spans="1:49" x14ac:dyDescent="0.3">
      <c r="A24" s="2" t="s">
        <v>10</v>
      </c>
      <c r="B24" s="32">
        <f t="shared" si="3"/>
        <v>46357</v>
      </c>
      <c r="C24" s="5">
        <f>'Initial Fee Calculation'!$L$16</f>
        <v>1237510.0833333333</v>
      </c>
      <c r="D24" s="5">
        <f t="shared" ref="D24:D27" si="10">K24+R24+Y24+AF24+AM24</f>
        <v>-78460.249999999985</v>
      </c>
      <c r="E24" s="4"/>
      <c r="F24" s="4">
        <f t="shared" ref="F24:F39" si="11">M24+T24+AA24+AH24+AO24</f>
        <v>0</v>
      </c>
      <c r="G24" s="4">
        <f t="shared" si="0"/>
        <v>-2585776</v>
      </c>
      <c r="H24" s="18">
        <f>O24+V24+AC24+AJ24+AQ24</f>
        <v>4280178.5</v>
      </c>
      <c r="I24" s="5"/>
      <c r="J24" s="17">
        <f>'Initial Fee Calculation'!$L$6</f>
        <v>1219600.1806553374</v>
      </c>
      <c r="K24" s="5">
        <f>IF((DATEDIF($B$24,$B24,"M"))&lt;'Fee Recovery Calculation'!$J$4,'Fee Recovery Calculation'!$K$18,0)/4</f>
        <v>-77336.215545520841</v>
      </c>
      <c r="L24" s="4"/>
      <c r="M24" s="4">
        <f>-IFERROR(IF((DATEDIF($B$24,$B24,"M"))&lt;'Fee Recovery Calculation'!$J$4,'Fee Recovery Calculation'!$R$18,0)/('Fee Recovery Calculation'!$J$4),0)</f>
        <v>0</v>
      </c>
      <c r="N24" s="4">
        <f>-IF((DATEDIF($B$24,$B24,"M"))&lt;'Fee Recovery Calculation'!$J$4,'Fee Recovery Calculation'!$T$18,0)</f>
        <v>-2514163.7179153669</v>
      </c>
      <c r="O24" s="104">
        <f>J24+K24+N24+O23+L24</f>
        <v>4115699.2584166499</v>
      </c>
      <c r="Q24" s="17">
        <f>'Initial Fee Calculation'!$L$7</f>
        <v>4625.3559531117244</v>
      </c>
      <c r="R24" s="5">
        <f>IF((DATEDIF($B$24,$B24,"M"))&lt;'Fee Recovery Calculation'!$J$4,'Fee Recovery Calculation'!$K$19,0)/4</f>
        <v>-290.28965422103818</v>
      </c>
      <c r="S24" s="4"/>
      <c r="T24" s="4">
        <f>-IFERROR(IF((DATEDIF($B$24,$B24,"M"))&lt;'Fee Recovery Calculation'!$J$4,'Fee Recovery Calculation'!$R$19,0)/('Fee Recovery Calculation'!$J$4),0)</f>
        <v>0</v>
      </c>
      <c r="U24" s="4">
        <f>-IF((DATEDIF($B$24,$B24,"M"))&lt;'Fee Recovery Calculation'!$J$4,'Fee Recovery Calculation'!$T$19,0)</f>
        <v>-18494.366005853706</v>
      </c>
      <c r="V24" s="104">
        <f>Q24+R24+U24+V23+S24</f>
        <v>42477.899120889037</v>
      </c>
      <c r="X24" s="17">
        <f>'Initial Fee Calculation'!$L$8</f>
        <v>1103.7304236087359</v>
      </c>
      <c r="Y24" s="5">
        <f>IF((DATEDIF($B$24,$B24,"M"))&lt;'Fee Recovery Calculation'!$J$4,'Fee Recovery Calculation'!$K$20,0)/4</f>
        <v>-69.270673710434892</v>
      </c>
      <c r="Z24" s="4"/>
      <c r="AA24" s="4">
        <f>-IFERROR(IF((DATEDIF($B$24,$B24,"M"))&lt;'Fee Recovery Calculation'!$J$4,'Fee Recovery Calculation'!$R$20,0)/('Fee Recovery Calculation'!$J$4),0)</f>
        <v>0</v>
      </c>
      <c r="AB24" s="4">
        <f>-IF((DATEDIF($B$24,$B24,"M"))&lt;'Fee Recovery Calculation'!$J$4,'Fee Recovery Calculation'!$T$20,0)</f>
        <v>-4413.2375179218661</v>
      </c>
      <c r="AC24" s="104">
        <f>X24+Y24+AB24+AC23+Z24</f>
        <v>10136.333304070697</v>
      </c>
      <c r="AE24" s="17">
        <f>'Initial Fee Calculation'!$L$9</f>
        <v>1694.6357090952797</v>
      </c>
      <c r="AF24" s="5">
        <f>IF((DATEDIF($B$24,$B24,"M"))&lt;'Fee Recovery Calculation'!$J$4,'Fee Recovery Calculation'!$K$21,0)/4</f>
        <v>-106.35618512623691</v>
      </c>
      <c r="AG24" s="4"/>
      <c r="AH24" s="4">
        <f>-IFERROR(IF((DATEDIF($B$24,$B24,"M"))&lt;'Fee Recovery Calculation'!$J$4,'Fee Recovery Calculation'!$R$21,0)/('Fee Recovery Calculation'!$J$4),0)</f>
        <v>0</v>
      </c>
      <c r="AI24" s="4">
        <f>-IF((DATEDIF($B$24,$B24,"M"))&lt;'Fee Recovery Calculation'!$J$4,'Fee Recovery Calculation'!$T$21,0)</f>
        <v>-6775.9570005661117</v>
      </c>
      <c r="AJ24" s="104">
        <f>AE24+AF24+AI24+AJ23+AG24</f>
        <v>15563.032429791208</v>
      </c>
      <c r="AL24" s="17">
        <f>'Initial Fee Calculation'!$L$10</f>
        <v>10486.180592180079</v>
      </c>
      <c r="AM24" s="5">
        <f>IF((DATEDIF($B$24,$B24,"M"))&lt;'Fee Recovery Calculation'!$J$4,'Fee Recovery Calculation'!$K$22,0)/4</f>
        <v>-658.11794142144561</v>
      </c>
      <c r="AN24" s="4"/>
      <c r="AO24" s="4">
        <f>-IFERROR(IF((DATEDIF($B$24,$B24,"M"))&lt;'Fee Recovery Calculation'!$J$4,'Fee Recovery Calculation'!$R$22,0)/('Fee Recovery Calculation'!$J$4),0)</f>
        <v>0</v>
      </c>
      <c r="AP24" s="4">
        <f>-IF((DATEDIF($B$24,$B24,"M"))&lt;'Fee Recovery Calculation'!$J$4,'Fee Recovery Calculation'!$T$22,0)</f>
        <v>-41928.72156029148</v>
      </c>
      <c r="AQ24" s="104">
        <f>AL24+AM24+AP24+AQ23+AN24</f>
        <v>96301.976728598587</v>
      </c>
      <c r="AS24" s="117">
        <f>'Initial Fee Calculation'!$L$16</f>
        <v>1237510.0833333333</v>
      </c>
      <c r="AT24" s="5">
        <f>'Fee Recovery Calculation'!$K$27/4</f>
        <v>-78460.249999999985</v>
      </c>
      <c r="AU24" s="4">
        <f>-IF((DATEDIF($B$24,$B24,"M"))&lt;'Fee Recovery Calculation'!$J$4,'Fee Recovery Calculation'!$O$27,0)</f>
        <v>-2585776</v>
      </c>
      <c r="AV24" s="119">
        <f t="shared" si="9"/>
        <v>4280178.4999999981</v>
      </c>
      <c r="AW24" s="120"/>
    </row>
    <row r="25" spans="1:49" x14ac:dyDescent="0.3">
      <c r="A25" s="2" t="s">
        <v>41</v>
      </c>
      <c r="B25" s="32">
        <f t="shared" si="3"/>
        <v>46388</v>
      </c>
      <c r="C25" s="5">
        <f>'Initial Fee Calculation'!$L$16</f>
        <v>1237510.0833333333</v>
      </c>
      <c r="D25" s="5">
        <f t="shared" si="10"/>
        <v>-78460.249999999985</v>
      </c>
      <c r="E25" s="4"/>
      <c r="F25" s="4">
        <f t="shared" si="11"/>
        <v>0</v>
      </c>
      <c r="G25" s="4">
        <f t="shared" si="0"/>
        <v>-2585776</v>
      </c>
      <c r="H25" s="18">
        <f t="shared" si="1"/>
        <v>2853452.3333333321</v>
      </c>
      <c r="I25" s="5"/>
      <c r="J25" s="17">
        <f>'Initial Fee Calculation'!$L$6</f>
        <v>1219600.1806553374</v>
      </c>
      <c r="K25" s="5">
        <f>IF((DATEDIF($B$24,$B25,"M"))&lt;'Fee Recovery Calculation'!$J$4,'Fee Recovery Calculation'!$K$18,0)/4</f>
        <v>-77336.215545520841</v>
      </c>
      <c r="L25" s="4"/>
      <c r="M25" s="4">
        <f>-IFERROR(IF((DATEDIF($B$24,$B25,"M"))&lt;'Fee Recovery Calculation'!$J$4,'Fee Recovery Calculation'!$R$18,0)/('Fee Recovery Calculation'!$J$4),0)</f>
        <v>0</v>
      </c>
      <c r="N25" s="4">
        <f>-IF((DATEDIF($B$24,$B25,"M"))&lt;'Fee Recovery Calculation'!$J$4,'Fee Recovery Calculation'!$T$18,0)</f>
        <v>-2514163.7179153669</v>
      </c>
      <c r="O25" s="104">
        <f t="shared" ref="O25:O39" si="12">J25+K25+N25+O24+L25</f>
        <v>2743799.5056110993</v>
      </c>
      <c r="Q25" s="17">
        <f>'Initial Fee Calculation'!$L$7</f>
        <v>4625.3559531117244</v>
      </c>
      <c r="R25" s="5">
        <f>IF((DATEDIF($B$24,$B25,"M"))&lt;'Fee Recovery Calculation'!$J$4,'Fee Recovery Calculation'!$K$19,0)/4</f>
        <v>-290.28965422103818</v>
      </c>
      <c r="S25" s="4"/>
      <c r="T25" s="4">
        <f>-IFERROR(IF((DATEDIF($B$24,$B25,"M"))&lt;'Fee Recovery Calculation'!$J$4,'Fee Recovery Calculation'!$R$19,0)/('Fee Recovery Calculation'!$J$4),0)</f>
        <v>0</v>
      </c>
      <c r="U25" s="4">
        <f>-IF((DATEDIF($B$24,$B25,"M"))&lt;'Fee Recovery Calculation'!$J$4,'Fee Recovery Calculation'!$T$19,0)</f>
        <v>-18494.366005853706</v>
      </c>
      <c r="V25" s="104">
        <f t="shared" ref="V25:V39" si="13">Q25+R25+U25+V24+S25</f>
        <v>28318.599413926015</v>
      </c>
      <c r="X25" s="17">
        <f>'Initial Fee Calculation'!$L$8</f>
        <v>1103.7304236087359</v>
      </c>
      <c r="Y25" s="5">
        <f>IF((DATEDIF($B$24,$B25,"M"))&lt;'Fee Recovery Calculation'!$J$4,'Fee Recovery Calculation'!$K$20,0)/4</f>
        <v>-69.270673710434892</v>
      </c>
      <c r="Z25" s="4"/>
      <c r="AA25" s="4">
        <f>-IFERROR(IF((DATEDIF($B$24,$B25,"M"))&lt;'Fee Recovery Calculation'!$J$4,'Fee Recovery Calculation'!$R$20,0)/('Fee Recovery Calculation'!$J$4),0)</f>
        <v>0</v>
      </c>
      <c r="AB25" s="4">
        <f>-IF((DATEDIF($B$24,$B25,"M"))&lt;'Fee Recovery Calculation'!$J$4,'Fee Recovery Calculation'!$T$20,0)</f>
        <v>-4413.2375179218661</v>
      </c>
      <c r="AC25" s="104">
        <f t="shared" ref="AC25:AC39" si="14">X25+Y25+AB25+AC24+Z25</f>
        <v>6757.5555360471317</v>
      </c>
      <c r="AE25" s="17">
        <f>'Initial Fee Calculation'!$L$9</f>
        <v>1694.6357090952797</v>
      </c>
      <c r="AF25" s="5">
        <f>IF((DATEDIF($B$24,$B25,"M"))&lt;'Fee Recovery Calculation'!$J$4,'Fee Recovery Calculation'!$K$21,0)/4</f>
        <v>-106.35618512623691</v>
      </c>
      <c r="AG25" s="4"/>
      <c r="AH25" s="4">
        <f>-IFERROR(IF((DATEDIF($B$24,$B25,"M"))&lt;'Fee Recovery Calculation'!$J$4,'Fee Recovery Calculation'!$R$21,0)/('Fee Recovery Calculation'!$J$4),0)</f>
        <v>0</v>
      </c>
      <c r="AI25" s="4">
        <f>-IF((DATEDIF($B$24,$B25,"M"))&lt;'Fee Recovery Calculation'!$J$4,'Fee Recovery Calculation'!$T$21,0)</f>
        <v>-6775.9570005661117</v>
      </c>
      <c r="AJ25" s="104">
        <f t="shared" ref="AJ25:AJ39" si="15">AE25+AF25+AI25+AJ24+AG25</f>
        <v>10375.354953194139</v>
      </c>
      <c r="AL25" s="17">
        <f>'Initial Fee Calculation'!$L$10</f>
        <v>10486.180592180079</v>
      </c>
      <c r="AM25" s="5">
        <f>IF((DATEDIF($B$24,$B25,"M"))&lt;'Fee Recovery Calculation'!$J$4,'Fee Recovery Calculation'!$K$22,0)/4</f>
        <v>-658.11794142144561</v>
      </c>
      <c r="AN25" s="4"/>
      <c r="AO25" s="4">
        <f>-IFERROR(IF((DATEDIF($B$24,$B25,"M"))&lt;'Fee Recovery Calculation'!$J$4,'Fee Recovery Calculation'!$R$22,0)/('Fee Recovery Calculation'!$J$4),0)</f>
        <v>0</v>
      </c>
      <c r="AP25" s="4">
        <f>-IF((DATEDIF($B$24,$B25,"M"))&lt;'Fee Recovery Calculation'!$J$4,'Fee Recovery Calculation'!$T$22,0)</f>
        <v>-41928.72156029148</v>
      </c>
      <c r="AQ25" s="104">
        <f t="shared" ref="AQ25:AQ39" si="16">AL25+AM25+AP25+AQ24+AN25</f>
        <v>64201.317819065742</v>
      </c>
      <c r="AS25" s="117">
        <f>'Initial Fee Calculation'!$L$16</f>
        <v>1237510.0833333333</v>
      </c>
      <c r="AT25" s="5">
        <f>'Fee Recovery Calculation'!$K$27/4</f>
        <v>-78460.249999999985</v>
      </c>
      <c r="AU25" s="4">
        <f>-IF((DATEDIF($B$24,$B25,"M"))&lt;'Fee Recovery Calculation'!$J$4,'Fee Recovery Calculation'!$O$27,0)</f>
        <v>-2585776</v>
      </c>
      <c r="AV25" s="119">
        <f t="shared" si="9"/>
        <v>2853452.3333333312</v>
      </c>
      <c r="AW25" s="120"/>
    </row>
    <row r="26" spans="1:49" x14ac:dyDescent="0.3">
      <c r="A26" s="2" t="s">
        <v>41</v>
      </c>
      <c r="B26" s="32">
        <f t="shared" si="3"/>
        <v>46419</v>
      </c>
      <c r="C26" s="5">
        <f>'Initial Fee Calculation'!$L$16</f>
        <v>1237510.0833333333</v>
      </c>
      <c r="D26" s="5">
        <f t="shared" si="10"/>
        <v>-78460.249999999985</v>
      </c>
      <c r="E26" s="4"/>
      <c r="F26" s="4">
        <f t="shared" si="11"/>
        <v>0</v>
      </c>
      <c r="G26" s="4">
        <f t="shared" si="0"/>
        <v>-2585776</v>
      </c>
      <c r="H26" s="18">
        <f t="shared" si="1"/>
        <v>1426726.1666666653</v>
      </c>
      <c r="I26" s="5"/>
      <c r="J26" s="17">
        <f>'Initial Fee Calculation'!$L$6</f>
        <v>1219600.1806553374</v>
      </c>
      <c r="K26" s="5">
        <f>IF((DATEDIF($B$24,$B26,"M"))&lt;'Fee Recovery Calculation'!$J$4,'Fee Recovery Calculation'!$K$18,0)/4</f>
        <v>-77336.215545520841</v>
      </c>
      <c r="L26" s="4"/>
      <c r="M26" s="4">
        <f>-IFERROR(IF((DATEDIF($B$24,$B26,"M"))&lt;'Fee Recovery Calculation'!$J$4,'Fee Recovery Calculation'!$R$18,0)/('Fee Recovery Calculation'!$J$4),0)</f>
        <v>0</v>
      </c>
      <c r="N26" s="4">
        <f>-IF((DATEDIF($B$24,$B26,"M"))&lt;'Fee Recovery Calculation'!$J$4,'Fee Recovery Calculation'!$T$18,0)</f>
        <v>-2514163.7179153669</v>
      </c>
      <c r="O26" s="104">
        <f t="shared" si="12"/>
        <v>1371899.752805549</v>
      </c>
      <c r="Q26" s="17">
        <f>'Initial Fee Calculation'!$L$7</f>
        <v>4625.3559531117244</v>
      </c>
      <c r="R26" s="5">
        <f>IF((DATEDIF($B$24,$B26,"M"))&lt;'Fee Recovery Calculation'!$J$4,'Fee Recovery Calculation'!$K$19,0)/4</f>
        <v>-290.28965422103818</v>
      </c>
      <c r="S26" s="4"/>
      <c r="T26" s="4">
        <f>-IFERROR(IF((DATEDIF($B$24,$B26,"M"))&lt;'Fee Recovery Calculation'!$J$4,'Fee Recovery Calculation'!$R$19,0)/('Fee Recovery Calculation'!$J$4),0)</f>
        <v>0</v>
      </c>
      <c r="U26" s="4">
        <f>-IF((DATEDIF($B$24,$B26,"M"))&lt;'Fee Recovery Calculation'!$J$4,'Fee Recovery Calculation'!$T$19,0)</f>
        <v>-18494.366005853706</v>
      </c>
      <c r="V26" s="104">
        <f t="shared" si="13"/>
        <v>14159.299706962995</v>
      </c>
      <c r="X26" s="17">
        <f>'Initial Fee Calculation'!$L$8</f>
        <v>1103.7304236087359</v>
      </c>
      <c r="Y26" s="5">
        <f>IF((DATEDIF($B$24,$B26,"M"))&lt;'Fee Recovery Calculation'!$J$4,'Fee Recovery Calculation'!$K$20,0)/4</f>
        <v>-69.270673710434892</v>
      </c>
      <c r="Z26" s="4"/>
      <c r="AA26" s="4">
        <f>-IFERROR(IF((DATEDIF($B$24,$B26,"M"))&lt;'Fee Recovery Calculation'!$J$4,'Fee Recovery Calculation'!$R$20,0)/('Fee Recovery Calculation'!$J$4),0)</f>
        <v>0</v>
      </c>
      <c r="AB26" s="4">
        <f>-IF((DATEDIF($B$24,$B26,"M"))&lt;'Fee Recovery Calculation'!$J$4,'Fee Recovery Calculation'!$T$20,0)</f>
        <v>-4413.2375179218661</v>
      </c>
      <c r="AC26" s="104">
        <f t="shared" si="14"/>
        <v>3378.7777680235668</v>
      </c>
      <c r="AE26" s="17">
        <f>'Initial Fee Calculation'!$L$9</f>
        <v>1694.6357090952797</v>
      </c>
      <c r="AF26" s="5">
        <f>IF((DATEDIF($B$24,$B26,"M"))&lt;'Fee Recovery Calculation'!$J$4,'Fee Recovery Calculation'!$K$21,0)/4</f>
        <v>-106.35618512623691</v>
      </c>
      <c r="AG26" s="4"/>
      <c r="AH26" s="4">
        <f>-IFERROR(IF((DATEDIF($B$24,$B26,"M"))&lt;'Fee Recovery Calculation'!$J$4,'Fee Recovery Calculation'!$R$21,0)/('Fee Recovery Calculation'!$J$4),0)</f>
        <v>0</v>
      </c>
      <c r="AI26" s="4">
        <f>-IF((DATEDIF($B$24,$B26,"M"))&lt;'Fee Recovery Calculation'!$J$4,'Fee Recovery Calculation'!$T$21,0)</f>
        <v>-6775.9570005661117</v>
      </c>
      <c r="AJ26" s="104">
        <f t="shared" si="15"/>
        <v>5187.6774765970704</v>
      </c>
      <c r="AL26" s="17">
        <f>'Initial Fee Calculation'!$L$10</f>
        <v>10486.180592180079</v>
      </c>
      <c r="AM26" s="5">
        <f>IF((DATEDIF($B$24,$B26,"M"))&lt;'Fee Recovery Calculation'!$J$4,'Fee Recovery Calculation'!$K$22,0)/4</f>
        <v>-658.11794142144561</v>
      </c>
      <c r="AN26" s="4"/>
      <c r="AO26" s="4">
        <f>-IFERROR(IF((DATEDIF($B$24,$B26,"M"))&lt;'Fee Recovery Calculation'!$J$4,'Fee Recovery Calculation'!$R$22,0)/('Fee Recovery Calculation'!$J$4),0)</f>
        <v>0</v>
      </c>
      <c r="AP26" s="4">
        <f>-IF((DATEDIF($B$24,$B26,"M"))&lt;'Fee Recovery Calculation'!$J$4,'Fee Recovery Calculation'!$T$22,0)</f>
        <v>-41928.72156029148</v>
      </c>
      <c r="AQ26" s="104">
        <f t="shared" si="16"/>
        <v>32100.658909532896</v>
      </c>
      <c r="AS26" s="117">
        <f>'Initial Fee Calculation'!$L$16</f>
        <v>1237510.0833333333</v>
      </c>
      <c r="AT26" s="5">
        <f>'Fee Recovery Calculation'!$K$27/4</f>
        <v>-78460.249999999985</v>
      </c>
      <c r="AU26" s="4">
        <f>-IF((DATEDIF($B$24,$B26,"M"))&lt;'Fee Recovery Calculation'!$J$4,'Fee Recovery Calculation'!$O$27,0)</f>
        <v>-2585776</v>
      </c>
      <c r="AV26" s="119">
        <f t="shared" si="9"/>
        <v>1426726.1666666644</v>
      </c>
      <c r="AW26" s="120"/>
    </row>
    <row r="27" spans="1:49" ht="15" thickBot="1" x14ac:dyDescent="0.35">
      <c r="A27" s="2" t="s">
        <v>30</v>
      </c>
      <c r="B27" s="84">
        <f t="shared" si="3"/>
        <v>46447</v>
      </c>
      <c r="C27" s="85">
        <f>'Initial Fee Calculation'!$L$16</f>
        <v>1237510.0833333333</v>
      </c>
      <c r="D27" s="86">
        <f t="shared" si="10"/>
        <v>-78460.249999999985</v>
      </c>
      <c r="E27" s="86"/>
      <c r="F27" s="86">
        <f t="shared" si="11"/>
        <v>0</v>
      </c>
      <c r="G27" s="86">
        <f t="shared" si="0"/>
        <v>-2585776</v>
      </c>
      <c r="H27" s="82">
        <f t="shared" si="1"/>
        <v>-1.3678800314664841E-9</v>
      </c>
      <c r="I27" s="5"/>
      <c r="J27" s="81">
        <f>'Initial Fee Calculation'!$L$6</f>
        <v>1219600.1806553374</v>
      </c>
      <c r="K27" s="86">
        <f>IF((DATEDIF($B$24,$B27,"M"))&lt;'Fee Recovery Calculation'!$J$4,'Fee Recovery Calculation'!$K$18,0)/4</f>
        <v>-77336.215545520841</v>
      </c>
      <c r="L27" s="86"/>
      <c r="M27" s="86">
        <f>-IFERROR(IF((DATEDIF($B$24,$B27,"M"))&lt;'Fee Recovery Calculation'!$J$4,'Fee Recovery Calculation'!$R$18,0)/('Fee Recovery Calculation'!$J$4),0)</f>
        <v>0</v>
      </c>
      <c r="N27" s="86">
        <f>-IF((DATEDIF($B$24,$B27,"M"))&lt;'Fee Recovery Calculation'!$J$4,'Fee Recovery Calculation'!$T$18,0)</f>
        <v>-2514163.7179153669</v>
      </c>
      <c r="O27" s="106">
        <f t="shared" si="12"/>
        <v>-1.3969838619232178E-9</v>
      </c>
      <c r="Q27" s="81">
        <f>'Initial Fee Calculation'!$L$7</f>
        <v>4625.3559531117244</v>
      </c>
      <c r="R27" s="86">
        <f>IF((DATEDIF($B$24,$B27,"M"))&lt;'Fee Recovery Calculation'!$J$4,'Fee Recovery Calculation'!$K$19,0)/4</f>
        <v>-290.28965422103818</v>
      </c>
      <c r="S27" s="86">
        <f>'Fee Recovery Calculation'!$M$5*'Fee Recovery by MP w True-Up '!$AW27</f>
        <v>0</v>
      </c>
      <c r="T27" s="86">
        <f>-IFERROR(IF((DATEDIF($B$24,$B27,"M"))&lt;'Fee Recovery Calculation'!$J$4,'Fee Recovery Calculation'!$R$19,0)/('Fee Recovery Calculation'!$J$4),0)</f>
        <v>0</v>
      </c>
      <c r="U27" s="86">
        <f>-IF((DATEDIF($B$24,$B27,"M"))&lt;'Fee Recovery Calculation'!$J$4,'Fee Recovery Calculation'!$T$19,0)</f>
        <v>-18494.366005853706</v>
      </c>
      <c r="V27" s="106">
        <f t="shared" si="13"/>
        <v>-2.5465851649641991E-11</v>
      </c>
      <c r="X27" s="81">
        <f>'Initial Fee Calculation'!$L$8</f>
        <v>1103.7304236087359</v>
      </c>
      <c r="Y27" s="86">
        <f>IF((DATEDIF($B$24,$B27,"M"))&lt;'Fee Recovery Calculation'!$J$4,'Fee Recovery Calculation'!$K$20,0)/4</f>
        <v>-69.270673710434892</v>
      </c>
      <c r="Z27" s="86"/>
      <c r="AA27" s="86">
        <f>-IFERROR(IF((DATEDIF($B$24,$B27,"M"))&lt;'Fee Recovery Calculation'!$J$4,'Fee Recovery Calculation'!$R$20,0)/('Fee Recovery Calculation'!$J$4),0)</f>
        <v>0</v>
      </c>
      <c r="AB27" s="86">
        <f>-IF((DATEDIF($B$24,$B27,"M"))&lt;'Fee Recovery Calculation'!$J$4,'Fee Recovery Calculation'!$T$20,0)</f>
        <v>-4413.2375179218661</v>
      </c>
      <c r="AC27" s="106">
        <f t="shared" si="14"/>
        <v>1.8189894035458565E-12</v>
      </c>
      <c r="AE27" s="81">
        <f>'Initial Fee Calculation'!$L$9</f>
        <v>1694.6357090952797</v>
      </c>
      <c r="AF27" s="86">
        <f>IF((DATEDIF($B$24,$B27,"M"))&lt;'Fee Recovery Calculation'!$J$4,'Fee Recovery Calculation'!$K$21,0)/4</f>
        <v>-106.35618512623691</v>
      </c>
      <c r="AG27" s="86"/>
      <c r="AH27" s="86">
        <f>-IFERROR(IF((DATEDIF($B$24,$B27,"M"))&lt;'Fee Recovery Calculation'!$J$4,'Fee Recovery Calculation'!$R$21,0)/('Fee Recovery Calculation'!$J$4),0)</f>
        <v>0</v>
      </c>
      <c r="AI27" s="86">
        <f>-IF((DATEDIF($B$24,$B27,"M"))&lt;'Fee Recovery Calculation'!$J$4,'Fee Recovery Calculation'!$T$21,0)</f>
        <v>-6775.9570005661117</v>
      </c>
      <c r="AJ27" s="106">
        <f t="shared" si="15"/>
        <v>1.8189894035458565E-12</v>
      </c>
      <c r="AL27" s="81">
        <f>'Initial Fee Calculation'!$L$10</f>
        <v>10486.180592180079</v>
      </c>
      <c r="AM27" s="86">
        <f>IF((DATEDIF($B$24,$B27,"M"))&lt;'Fee Recovery Calculation'!$J$4,'Fee Recovery Calculation'!$K$22,0)/4</f>
        <v>-658.11794142144561</v>
      </c>
      <c r="AN27" s="86"/>
      <c r="AO27" s="86">
        <f>-IFERROR(IF((DATEDIF($B$24,$B27,"M"))&lt;'Fee Recovery Calculation'!$J$4,'Fee Recovery Calculation'!$R$22,0)/('Fee Recovery Calculation'!$J$4),0)</f>
        <v>0</v>
      </c>
      <c r="AP27" s="86">
        <f>-IF((DATEDIF($B$24,$B27,"M"))&lt;'Fee Recovery Calculation'!$J$4,'Fee Recovery Calculation'!$T$22,0)</f>
        <v>-41928.72156029148</v>
      </c>
      <c r="AQ27" s="106">
        <f t="shared" si="16"/>
        <v>5.0931703299283981E-11</v>
      </c>
      <c r="AS27" s="192">
        <f>'Initial Fee Calculation'!$L$16</f>
        <v>1237510.0833333333</v>
      </c>
      <c r="AT27" s="85">
        <f>'Fee Recovery Calculation'!$K$27/4</f>
        <v>-78460.249999999985</v>
      </c>
      <c r="AU27" s="86">
        <f>-IF((DATEDIF($B$24,$B27,"M"))&lt;'Fee Recovery Calculation'!$J$4,'Fee Recovery Calculation'!$O$27,0)</f>
        <v>-2585776</v>
      </c>
      <c r="AV27" s="193">
        <f t="shared" si="9"/>
        <v>-2.3283064365386963E-9</v>
      </c>
      <c r="AW27" s="121"/>
    </row>
    <row r="28" spans="1:49" x14ac:dyDescent="0.3">
      <c r="A28" s="2" t="s">
        <v>41</v>
      </c>
      <c r="B28" s="52">
        <f t="shared" si="3"/>
        <v>46478</v>
      </c>
      <c r="C28" s="53"/>
      <c r="D28" s="54"/>
      <c r="E28" s="54">
        <f t="shared" ref="E28:E39" si="17">L28+S28+Z28+AG28+AN28</f>
        <v>0</v>
      </c>
      <c r="F28" s="54">
        <f t="shared" si="11"/>
        <v>0</v>
      </c>
      <c r="G28" s="54">
        <f t="shared" si="0"/>
        <v>0</v>
      </c>
      <c r="H28" s="58">
        <f t="shared" si="1"/>
        <v>-1.3678800314664841E-9</v>
      </c>
      <c r="I28" s="5"/>
      <c r="J28" s="98"/>
      <c r="K28" s="54"/>
      <c r="L28" s="54">
        <f>'Fee Recovery Calculation'!$Q$18*'Fee Recovery by MP w True-Up '!$AW28</f>
        <v>0</v>
      </c>
      <c r="M28" s="54">
        <f>-IFERROR(IF((DATEDIF($B$24,$B28,"M"))&lt;'Fee Recovery Calculation'!$J$4,'Fee Recovery Calculation'!$R$18,0)/('Fee Recovery Calculation'!$J$4),0)</f>
        <v>0</v>
      </c>
      <c r="N28" s="54">
        <f>-IF((DATEDIF($B$24,$B28,"M"))&lt;'Fee Recovery Calculation'!$J$4,'Fee Recovery Calculation'!$T$18,0)</f>
        <v>0</v>
      </c>
      <c r="O28" s="104">
        <f>J28+K28+N28+O27+L28</f>
        <v>-1.3969838619232178E-9</v>
      </c>
      <c r="Q28" s="98"/>
      <c r="R28" s="54"/>
      <c r="S28" s="54">
        <f>'Fee Recovery Calculation'!$Q$19*'Fee Recovery by MP w True-Up '!$AW28</f>
        <v>0</v>
      </c>
      <c r="T28" s="54">
        <f>-IFERROR(IF((DATEDIF($B$24,$B28,"M"))&lt;'Fee Recovery Calculation'!$J$4,'Fee Recovery Calculation'!$R$19,0)/('Fee Recovery Calculation'!$J$4),0)</f>
        <v>0</v>
      </c>
      <c r="U28" s="54">
        <f>-IF((DATEDIF($B$24,$B28,"M"))&lt;'Fee Recovery Calculation'!$J$4,'Fee Recovery Calculation'!$T$19,0)</f>
        <v>0</v>
      </c>
      <c r="V28" s="104">
        <f>Q28+R28+U28+V27+S28</f>
        <v>-2.5465851649641991E-11</v>
      </c>
      <c r="X28" s="98"/>
      <c r="Y28" s="54"/>
      <c r="Z28" s="54">
        <f>'Fee Recovery Calculation'!$Q$20*'Fee Recovery by MP w True-Up '!$AW28</f>
        <v>0</v>
      </c>
      <c r="AA28" s="54">
        <f>-IFERROR(IF((DATEDIF($B$24,$B28,"M"))&lt;'Fee Recovery Calculation'!$J$4,'Fee Recovery Calculation'!$R$20,0)/('Fee Recovery Calculation'!$J$4),0)</f>
        <v>0</v>
      </c>
      <c r="AB28" s="54">
        <f>-IF((DATEDIF($B$24,$B28,"M"))&lt;'Fee Recovery Calculation'!$J$4,'Fee Recovery Calculation'!$T$20,0)</f>
        <v>0</v>
      </c>
      <c r="AC28" s="104">
        <f t="shared" si="14"/>
        <v>1.8189894035458565E-12</v>
      </c>
      <c r="AE28" s="98"/>
      <c r="AF28" s="54"/>
      <c r="AG28" s="54">
        <f>'Fee Recovery Calculation'!$Q$21*'Fee Recovery by MP w True-Up '!$AW28</f>
        <v>0</v>
      </c>
      <c r="AH28" s="54">
        <f>-IFERROR(IF((DATEDIF($B$24,$B28,"M"))&lt;'Fee Recovery Calculation'!$J$4,'Fee Recovery Calculation'!$R$21,0)/('Fee Recovery Calculation'!$J$4),0)</f>
        <v>0</v>
      </c>
      <c r="AI28" s="54">
        <f>-IF((DATEDIF($B$24,$B28,"M"))&lt;'Fee Recovery Calculation'!$J$4,'Fee Recovery Calculation'!$T$21,0)</f>
        <v>0</v>
      </c>
      <c r="AJ28" s="104">
        <f t="shared" si="15"/>
        <v>1.8189894035458565E-12</v>
      </c>
      <c r="AL28" s="98"/>
      <c r="AM28" s="54"/>
      <c r="AN28" s="54">
        <f>'Fee Recovery Calculation'!$Q$22*'Fee Recovery by MP w True-Up '!$AW28</f>
        <v>0</v>
      </c>
      <c r="AO28" s="54">
        <f>-IFERROR(IF((DATEDIF($B$24,$B28,"M"))&lt;'Fee Recovery Calculation'!$J$4,'Fee Recovery Calculation'!$R$22,0)/('Fee Recovery Calculation'!$J$4),0)</f>
        <v>0</v>
      </c>
      <c r="AP28" s="54">
        <f>-IF((DATEDIF($B$24,$B28,"M"))&lt;'Fee Recovery Calculation'!$J$4,'Fee Recovery Calculation'!$T$22,0)</f>
        <v>0</v>
      </c>
      <c r="AQ28" s="104">
        <f t="shared" si="16"/>
        <v>5.0931703299283981E-11</v>
      </c>
      <c r="AS28" s="98"/>
      <c r="AT28" s="54"/>
      <c r="AU28" s="54">
        <f>-IF((DATEDIF($B$24,$B28,"M"))&lt;'Fee Recovery Calculation'!$J$4,'Fee Recovery Calculation'!$O$27,0)</f>
        <v>0</v>
      </c>
      <c r="AV28" s="119">
        <f t="shared" si="9"/>
        <v>-2.3283064365386963E-9</v>
      </c>
      <c r="AW28" s="123">
        <f>IF(ROUND(AU28,0)=0,0,(AV27+SUM($AW$27:AW27))*'Fee Recovery Calculation'!$R$4/12)</f>
        <v>0</v>
      </c>
    </row>
    <row r="29" spans="1:49" x14ac:dyDescent="0.3">
      <c r="A29" s="2" t="s">
        <v>41</v>
      </c>
      <c r="B29" s="52">
        <f t="shared" si="3"/>
        <v>46508</v>
      </c>
      <c r="C29" s="53"/>
      <c r="D29" s="54"/>
      <c r="E29" s="54">
        <f t="shared" si="17"/>
        <v>0</v>
      </c>
      <c r="F29" s="54">
        <f t="shared" si="11"/>
        <v>0</v>
      </c>
      <c r="G29" s="54">
        <f t="shared" si="0"/>
        <v>0</v>
      </c>
      <c r="H29" s="58">
        <f t="shared" si="1"/>
        <v>-1.3678800314664841E-9</v>
      </c>
      <c r="I29" s="5"/>
      <c r="J29" s="98"/>
      <c r="K29" s="54"/>
      <c r="L29" s="54">
        <f>'Fee Recovery Calculation'!$Q$18*'Fee Recovery by MP w True-Up '!$AW29</f>
        <v>0</v>
      </c>
      <c r="M29" s="54">
        <f>-IFERROR(IF((DATEDIF($B$24,$B29,"M"))&lt;'Fee Recovery Calculation'!$J$4,'Fee Recovery Calculation'!$R$18,0)/('Fee Recovery Calculation'!$J$4),0)</f>
        <v>0</v>
      </c>
      <c r="N29" s="54">
        <f>-IF((DATEDIF($B$24,$B29,"M"))&lt;'Fee Recovery Calculation'!$J$4,'Fee Recovery Calculation'!$T$18,0)</f>
        <v>0</v>
      </c>
      <c r="O29" s="104">
        <f t="shared" si="12"/>
        <v>-1.3969838619232178E-9</v>
      </c>
      <c r="Q29" s="98"/>
      <c r="R29" s="54"/>
      <c r="S29" s="54">
        <f>'Fee Recovery Calculation'!$Q$19*'Fee Recovery by MP w True-Up '!$AW29</f>
        <v>0</v>
      </c>
      <c r="T29" s="54">
        <f>-IFERROR(IF((DATEDIF($B$24,$B29,"M"))&lt;'Fee Recovery Calculation'!$J$4,'Fee Recovery Calculation'!$R$19,0)/('Fee Recovery Calculation'!$J$4),0)</f>
        <v>0</v>
      </c>
      <c r="U29" s="54">
        <f>-IF((DATEDIF($B$24,$B29,"M"))&lt;'Fee Recovery Calculation'!$J$4,'Fee Recovery Calculation'!$T$19,0)</f>
        <v>0</v>
      </c>
      <c r="V29" s="104">
        <f t="shared" si="13"/>
        <v>-2.5465851649641991E-11</v>
      </c>
      <c r="X29" s="98"/>
      <c r="Y29" s="54"/>
      <c r="Z29" s="54">
        <f>'Fee Recovery Calculation'!$Q$20*'Fee Recovery by MP w True-Up '!$AW29</f>
        <v>0</v>
      </c>
      <c r="AA29" s="54">
        <f>-IFERROR(IF((DATEDIF($B$24,$B29,"M"))&lt;'Fee Recovery Calculation'!$J$4,'Fee Recovery Calculation'!$R$20,0)/('Fee Recovery Calculation'!$J$4),0)</f>
        <v>0</v>
      </c>
      <c r="AB29" s="54">
        <f>-IF((DATEDIF($B$24,$B29,"M"))&lt;'Fee Recovery Calculation'!$J$4,'Fee Recovery Calculation'!$T$20,0)</f>
        <v>0</v>
      </c>
      <c r="AC29" s="104">
        <f t="shared" si="14"/>
        <v>1.8189894035458565E-12</v>
      </c>
      <c r="AE29" s="98"/>
      <c r="AF29" s="54"/>
      <c r="AG29" s="54">
        <f>'Fee Recovery Calculation'!$Q$21*'Fee Recovery by MP w True-Up '!$AW29</f>
        <v>0</v>
      </c>
      <c r="AH29" s="54">
        <f>-IFERROR(IF((DATEDIF($B$24,$B29,"M"))&lt;'Fee Recovery Calculation'!$J$4,'Fee Recovery Calculation'!$R$21,0)/('Fee Recovery Calculation'!$J$4),0)</f>
        <v>0</v>
      </c>
      <c r="AI29" s="54">
        <f>-IF((DATEDIF($B$24,$B29,"M"))&lt;'Fee Recovery Calculation'!$J$4,'Fee Recovery Calculation'!$T$21,0)</f>
        <v>0</v>
      </c>
      <c r="AJ29" s="104">
        <f t="shared" si="15"/>
        <v>1.8189894035458565E-12</v>
      </c>
      <c r="AL29" s="98"/>
      <c r="AM29" s="54"/>
      <c r="AN29" s="54">
        <f>'Fee Recovery Calculation'!$Q$22*'Fee Recovery by MP w True-Up '!$AW29</f>
        <v>0</v>
      </c>
      <c r="AO29" s="54">
        <f>-IFERROR(IF((DATEDIF($B$24,$B29,"M"))&lt;'Fee Recovery Calculation'!$J$4,'Fee Recovery Calculation'!$R$22,0)/('Fee Recovery Calculation'!$J$4),0)</f>
        <v>0</v>
      </c>
      <c r="AP29" s="54">
        <f>-IF((DATEDIF($B$24,$B29,"M"))&lt;'Fee Recovery Calculation'!$J$4,'Fee Recovery Calculation'!$T$22,0)</f>
        <v>0</v>
      </c>
      <c r="AQ29" s="104">
        <f t="shared" si="16"/>
        <v>5.0931703299283981E-11</v>
      </c>
      <c r="AS29" s="98"/>
      <c r="AT29" s="54"/>
      <c r="AU29" s="54">
        <f>-IF((DATEDIF($B$24,$B29,"M"))&lt;'Fee Recovery Calculation'!$J$4,'Fee Recovery Calculation'!$O$27,0)</f>
        <v>0</v>
      </c>
      <c r="AV29" s="119">
        <f>AS29+AT29+AU29+AV28</f>
        <v>-2.3283064365386963E-9</v>
      </c>
      <c r="AW29" s="123">
        <f>IF(ROUND(AU29,0)=0,0,(AV28+SUM($AW$27:AW28))*'Fee Recovery Calculation'!$R$4/12)</f>
        <v>0</v>
      </c>
    </row>
    <row r="30" spans="1:49" x14ac:dyDescent="0.3">
      <c r="A30" s="2" t="s">
        <v>41</v>
      </c>
      <c r="B30" s="52">
        <f t="shared" si="3"/>
        <v>46539</v>
      </c>
      <c r="C30" s="53"/>
      <c r="D30" s="54"/>
      <c r="E30" s="54">
        <f t="shared" si="17"/>
        <v>0</v>
      </c>
      <c r="F30" s="54">
        <f t="shared" si="11"/>
        <v>0</v>
      </c>
      <c r="G30" s="54">
        <f t="shared" si="0"/>
        <v>0</v>
      </c>
      <c r="H30" s="58">
        <f t="shared" si="1"/>
        <v>-1.3678800314664841E-9</v>
      </c>
      <c r="I30" s="5"/>
      <c r="J30" s="98"/>
      <c r="K30" s="54"/>
      <c r="L30" s="54">
        <f>'Fee Recovery Calculation'!$Q$18*'Fee Recovery by MP w True-Up '!$AW30</f>
        <v>0</v>
      </c>
      <c r="M30" s="54">
        <f>-IFERROR(IF((DATEDIF($B$24,$B30,"M"))&lt;'Fee Recovery Calculation'!$J$4,'Fee Recovery Calculation'!$R$18,0)/('Fee Recovery Calculation'!$J$4),0)</f>
        <v>0</v>
      </c>
      <c r="N30" s="54">
        <f>-IF((DATEDIF($B$24,$B30,"M"))&lt;'Fee Recovery Calculation'!$J$4,'Fee Recovery Calculation'!$T$18,0)</f>
        <v>0</v>
      </c>
      <c r="O30" s="104">
        <f t="shared" si="12"/>
        <v>-1.3969838619232178E-9</v>
      </c>
      <c r="Q30" s="98"/>
      <c r="R30" s="54"/>
      <c r="S30" s="54">
        <f>'Fee Recovery Calculation'!$Q$19*'Fee Recovery by MP w True-Up '!$AW30</f>
        <v>0</v>
      </c>
      <c r="T30" s="54">
        <f>-IFERROR(IF((DATEDIF($B$24,$B30,"M"))&lt;'Fee Recovery Calculation'!$J$4,'Fee Recovery Calculation'!$R$19,0)/('Fee Recovery Calculation'!$J$4),0)</f>
        <v>0</v>
      </c>
      <c r="U30" s="54">
        <f>-IF((DATEDIF($B$24,$B30,"M"))&lt;'Fee Recovery Calculation'!$J$4,'Fee Recovery Calculation'!$T$19,0)</f>
        <v>0</v>
      </c>
      <c r="V30" s="104">
        <f t="shared" si="13"/>
        <v>-2.5465851649641991E-11</v>
      </c>
      <c r="X30" s="98"/>
      <c r="Y30" s="54"/>
      <c r="Z30" s="54">
        <f>'Fee Recovery Calculation'!$Q$20*'Fee Recovery by MP w True-Up '!$AW30</f>
        <v>0</v>
      </c>
      <c r="AA30" s="54">
        <f>-IFERROR(IF((DATEDIF($B$24,$B30,"M"))&lt;'Fee Recovery Calculation'!$J$4,'Fee Recovery Calculation'!$R$20,0)/('Fee Recovery Calculation'!$J$4),0)</f>
        <v>0</v>
      </c>
      <c r="AB30" s="54">
        <f>-IF((DATEDIF($B$24,$B30,"M"))&lt;'Fee Recovery Calculation'!$J$4,'Fee Recovery Calculation'!$T$20,0)</f>
        <v>0</v>
      </c>
      <c r="AC30" s="104">
        <f t="shared" si="14"/>
        <v>1.8189894035458565E-12</v>
      </c>
      <c r="AE30" s="98"/>
      <c r="AF30" s="54"/>
      <c r="AG30" s="54">
        <f>'Fee Recovery Calculation'!$Q$21*'Fee Recovery by MP w True-Up '!$AW30</f>
        <v>0</v>
      </c>
      <c r="AH30" s="54">
        <f>-IFERROR(IF((DATEDIF($B$24,$B30,"M"))&lt;'Fee Recovery Calculation'!$J$4,'Fee Recovery Calculation'!$R$21,0)/('Fee Recovery Calculation'!$J$4),0)</f>
        <v>0</v>
      </c>
      <c r="AI30" s="54">
        <f>-IF((DATEDIF($B$24,$B30,"M"))&lt;'Fee Recovery Calculation'!$J$4,'Fee Recovery Calculation'!$T$21,0)</f>
        <v>0</v>
      </c>
      <c r="AJ30" s="104">
        <f t="shared" si="15"/>
        <v>1.8189894035458565E-12</v>
      </c>
      <c r="AL30" s="98"/>
      <c r="AM30" s="54"/>
      <c r="AN30" s="54">
        <f>'Fee Recovery Calculation'!$Q$22*'Fee Recovery by MP w True-Up '!$AW30</f>
        <v>0</v>
      </c>
      <c r="AO30" s="54">
        <f>-IFERROR(IF((DATEDIF($B$24,$B30,"M"))&lt;'Fee Recovery Calculation'!$J$4,'Fee Recovery Calculation'!$R$22,0)/('Fee Recovery Calculation'!$J$4),0)</f>
        <v>0</v>
      </c>
      <c r="AP30" s="54">
        <f>-IF((DATEDIF($B$24,$B30,"M"))&lt;'Fee Recovery Calculation'!$J$4,'Fee Recovery Calculation'!$T$22,0)</f>
        <v>0</v>
      </c>
      <c r="AQ30" s="104">
        <f t="shared" si="16"/>
        <v>5.0931703299283981E-11</v>
      </c>
      <c r="AS30" s="98"/>
      <c r="AT30" s="54"/>
      <c r="AU30" s="54">
        <f>-IF((DATEDIF($B$24,$B30,"M"))&lt;'Fee Recovery Calculation'!$J$4,'Fee Recovery Calculation'!$O$27,0)</f>
        <v>0</v>
      </c>
      <c r="AV30" s="119">
        <f>AS30+AT30+AU30+AV29</f>
        <v>-2.3283064365386963E-9</v>
      </c>
      <c r="AW30" s="123">
        <f>IF(ROUND(AU30,0)=0,0,(AV29+SUM($AW$27:AW29))*'Fee Recovery Calculation'!$R$4/12)</f>
        <v>0</v>
      </c>
    </row>
    <row r="31" spans="1:49" x14ac:dyDescent="0.3">
      <c r="A31" s="2" t="s">
        <v>41</v>
      </c>
      <c r="B31" s="52">
        <f t="shared" si="3"/>
        <v>46569</v>
      </c>
      <c r="C31" s="53"/>
      <c r="D31" s="54"/>
      <c r="E31" s="54">
        <f t="shared" si="17"/>
        <v>0</v>
      </c>
      <c r="F31" s="54">
        <f t="shared" si="11"/>
        <v>0</v>
      </c>
      <c r="G31" s="54">
        <f t="shared" si="0"/>
        <v>0</v>
      </c>
      <c r="H31" s="58">
        <f t="shared" si="1"/>
        <v>-1.3678800314664841E-9</v>
      </c>
      <c r="I31" s="5"/>
      <c r="J31" s="98"/>
      <c r="K31" s="54"/>
      <c r="L31" s="54">
        <f>'Fee Recovery Calculation'!$Q$18*'Fee Recovery by MP w True-Up '!$AW31</f>
        <v>0</v>
      </c>
      <c r="M31" s="54">
        <f>-IFERROR(IF((DATEDIF($B$24,$B31,"M"))&lt;'Fee Recovery Calculation'!$J$4,'Fee Recovery Calculation'!$R$18,0)/('Fee Recovery Calculation'!$J$4),0)</f>
        <v>0</v>
      </c>
      <c r="N31" s="54">
        <f>-IF((DATEDIF($B$24,$B31,"M"))&lt;'Fee Recovery Calculation'!$J$4,'Fee Recovery Calculation'!$T$18,0)</f>
        <v>0</v>
      </c>
      <c r="O31" s="104">
        <f t="shared" si="12"/>
        <v>-1.3969838619232178E-9</v>
      </c>
      <c r="Q31" s="98"/>
      <c r="R31" s="54"/>
      <c r="S31" s="54">
        <f>'Fee Recovery Calculation'!$Q$19*'Fee Recovery by MP w True-Up '!$AW31</f>
        <v>0</v>
      </c>
      <c r="T31" s="54">
        <f>-IFERROR(IF((DATEDIF($B$24,$B31,"M"))&lt;'Fee Recovery Calculation'!$J$4,'Fee Recovery Calculation'!$R$19,0)/('Fee Recovery Calculation'!$J$4),0)</f>
        <v>0</v>
      </c>
      <c r="U31" s="54">
        <f>-IF((DATEDIF($B$24,$B31,"M"))&lt;'Fee Recovery Calculation'!$J$4,'Fee Recovery Calculation'!$T$19,0)</f>
        <v>0</v>
      </c>
      <c r="V31" s="104">
        <f t="shared" si="13"/>
        <v>-2.5465851649641991E-11</v>
      </c>
      <c r="X31" s="98"/>
      <c r="Y31" s="54"/>
      <c r="Z31" s="54">
        <f>'Fee Recovery Calculation'!$Q$20*'Fee Recovery by MP w True-Up '!$AW31</f>
        <v>0</v>
      </c>
      <c r="AA31" s="54">
        <f>-IFERROR(IF((DATEDIF($B$24,$B31,"M"))&lt;'Fee Recovery Calculation'!$J$4,'Fee Recovery Calculation'!$R$20,0)/('Fee Recovery Calculation'!$J$4),0)</f>
        <v>0</v>
      </c>
      <c r="AB31" s="54">
        <f>-IF((DATEDIF($B$24,$B31,"M"))&lt;'Fee Recovery Calculation'!$J$4,'Fee Recovery Calculation'!$T$20,0)</f>
        <v>0</v>
      </c>
      <c r="AC31" s="104">
        <f t="shared" si="14"/>
        <v>1.8189894035458565E-12</v>
      </c>
      <c r="AE31" s="98"/>
      <c r="AF31" s="54"/>
      <c r="AG31" s="54">
        <f>'Fee Recovery Calculation'!$Q$21*'Fee Recovery by MP w True-Up '!$AW31</f>
        <v>0</v>
      </c>
      <c r="AH31" s="54">
        <f>-IFERROR(IF((DATEDIF($B$24,$B31,"M"))&lt;'Fee Recovery Calculation'!$J$4,'Fee Recovery Calculation'!$R$21,0)/('Fee Recovery Calculation'!$J$4),0)</f>
        <v>0</v>
      </c>
      <c r="AI31" s="54">
        <f>-IF((DATEDIF($B$24,$B31,"M"))&lt;'Fee Recovery Calculation'!$J$4,'Fee Recovery Calculation'!$T$21,0)</f>
        <v>0</v>
      </c>
      <c r="AJ31" s="104">
        <f t="shared" si="15"/>
        <v>1.8189894035458565E-12</v>
      </c>
      <c r="AL31" s="98"/>
      <c r="AM31" s="54"/>
      <c r="AN31" s="54">
        <f>'Fee Recovery Calculation'!$Q$22*'Fee Recovery by MP w True-Up '!$AW31</f>
        <v>0</v>
      </c>
      <c r="AO31" s="54">
        <f>-IFERROR(IF((DATEDIF($B$24,$B31,"M"))&lt;'Fee Recovery Calculation'!$J$4,'Fee Recovery Calculation'!$R$22,0)/('Fee Recovery Calculation'!$J$4),0)</f>
        <v>0</v>
      </c>
      <c r="AP31" s="54">
        <f>-IF((DATEDIF($B$24,$B31,"M"))&lt;'Fee Recovery Calculation'!$J$4,'Fee Recovery Calculation'!$T$22,0)</f>
        <v>0</v>
      </c>
      <c r="AQ31" s="104">
        <f t="shared" si="16"/>
        <v>5.0931703299283981E-11</v>
      </c>
      <c r="AS31" s="98"/>
      <c r="AT31" s="54"/>
      <c r="AU31" s="54">
        <f>-IF((DATEDIF($B$24,$B31,"M"))&lt;'Fee Recovery Calculation'!$J$4,'Fee Recovery Calculation'!$O$27,0)</f>
        <v>0</v>
      </c>
      <c r="AV31" s="119">
        <f>AS31+AT31+AU31+AV30</f>
        <v>-2.3283064365386963E-9</v>
      </c>
      <c r="AW31" s="123">
        <f>IF(ROUND(AU31,0)=0,0,(AV30+SUM($AW$27:AW30))*'Fee Recovery Calculation'!$R$4/12)</f>
        <v>0</v>
      </c>
    </row>
    <row r="32" spans="1:49" x14ac:dyDescent="0.3">
      <c r="A32" s="2" t="s">
        <v>41</v>
      </c>
      <c r="B32" s="52">
        <f t="shared" si="3"/>
        <v>46600</v>
      </c>
      <c r="C32" s="53"/>
      <c r="D32" s="54"/>
      <c r="E32" s="54">
        <f t="shared" si="17"/>
        <v>0</v>
      </c>
      <c r="F32" s="54">
        <f t="shared" si="11"/>
        <v>0</v>
      </c>
      <c r="G32" s="54">
        <f t="shared" si="0"/>
        <v>0</v>
      </c>
      <c r="H32" s="58">
        <f t="shared" si="1"/>
        <v>-1.3678800314664841E-9</v>
      </c>
      <c r="I32" s="5"/>
      <c r="J32" s="98"/>
      <c r="K32" s="54"/>
      <c r="L32" s="54">
        <f>'Fee Recovery Calculation'!$Q$18*'Fee Recovery by MP w True-Up '!$AW32</f>
        <v>0</v>
      </c>
      <c r="M32" s="54">
        <f>-IFERROR(IF((DATEDIF($B$24,$B32,"M"))&lt;'Fee Recovery Calculation'!$J$4,'Fee Recovery Calculation'!$R$18,0)/('Fee Recovery Calculation'!$J$4),0)</f>
        <v>0</v>
      </c>
      <c r="N32" s="54">
        <f>-IF((DATEDIF($B$24,$B32,"M"))&lt;'Fee Recovery Calculation'!$J$4,'Fee Recovery Calculation'!$T$18,0)</f>
        <v>0</v>
      </c>
      <c r="O32" s="104">
        <f t="shared" si="12"/>
        <v>-1.3969838619232178E-9</v>
      </c>
      <c r="Q32" s="98"/>
      <c r="R32" s="54"/>
      <c r="S32" s="54">
        <f>'Fee Recovery Calculation'!$Q$19*'Fee Recovery by MP w True-Up '!$AW32</f>
        <v>0</v>
      </c>
      <c r="T32" s="54">
        <f>-IFERROR(IF((DATEDIF($B$24,$B32,"M"))&lt;'Fee Recovery Calculation'!$J$4,'Fee Recovery Calculation'!$R$19,0)/('Fee Recovery Calculation'!$J$4),0)</f>
        <v>0</v>
      </c>
      <c r="U32" s="54">
        <f>-IF((DATEDIF($B$24,$B32,"M"))&lt;'Fee Recovery Calculation'!$J$4,'Fee Recovery Calculation'!$T$19,0)</f>
        <v>0</v>
      </c>
      <c r="V32" s="104">
        <f t="shared" si="13"/>
        <v>-2.5465851649641991E-11</v>
      </c>
      <c r="X32" s="98"/>
      <c r="Y32" s="54"/>
      <c r="Z32" s="54">
        <f>'Fee Recovery Calculation'!$Q$20*'Fee Recovery by MP w True-Up '!$AW32</f>
        <v>0</v>
      </c>
      <c r="AA32" s="54">
        <f>-IFERROR(IF((DATEDIF($B$24,$B32,"M"))&lt;'Fee Recovery Calculation'!$J$4,'Fee Recovery Calculation'!$R$20,0)/('Fee Recovery Calculation'!$J$4),0)</f>
        <v>0</v>
      </c>
      <c r="AB32" s="54">
        <f>-IF((DATEDIF($B$24,$B32,"M"))&lt;'Fee Recovery Calculation'!$J$4,'Fee Recovery Calculation'!$T$20,0)</f>
        <v>0</v>
      </c>
      <c r="AC32" s="104">
        <f t="shared" si="14"/>
        <v>1.8189894035458565E-12</v>
      </c>
      <c r="AE32" s="98"/>
      <c r="AF32" s="54"/>
      <c r="AG32" s="54">
        <f>'Fee Recovery Calculation'!$Q$21*'Fee Recovery by MP w True-Up '!$AW32</f>
        <v>0</v>
      </c>
      <c r="AH32" s="54">
        <f>-IFERROR(IF((DATEDIF($B$24,$B32,"M"))&lt;'Fee Recovery Calculation'!$J$4,'Fee Recovery Calculation'!$R$21,0)/('Fee Recovery Calculation'!$J$4),0)</f>
        <v>0</v>
      </c>
      <c r="AI32" s="54">
        <f>-IF((DATEDIF($B$24,$B32,"M"))&lt;'Fee Recovery Calculation'!$J$4,'Fee Recovery Calculation'!$T$21,0)</f>
        <v>0</v>
      </c>
      <c r="AJ32" s="104">
        <f t="shared" si="15"/>
        <v>1.8189894035458565E-12</v>
      </c>
      <c r="AL32" s="98"/>
      <c r="AM32" s="54"/>
      <c r="AN32" s="54">
        <f>'Fee Recovery Calculation'!$Q$22*'Fee Recovery by MP w True-Up '!$AW32</f>
        <v>0</v>
      </c>
      <c r="AO32" s="54">
        <f>-IFERROR(IF((DATEDIF($B$24,$B32,"M"))&lt;'Fee Recovery Calculation'!$J$4,'Fee Recovery Calculation'!$R$22,0)/('Fee Recovery Calculation'!$J$4),0)</f>
        <v>0</v>
      </c>
      <c r="AP32" s="54">
        <f>-IF((DATEDIF($B$24,$B32,"M"))&lt;'Fee Recovery Calculation'!$J$4,'Fee Recovery Calculation'!$T$22,0)</f>
        <v>0</v>
      </c>
      <c r="AQ32" s="104">
        <f t="shared" si="16"/>
        <v>5.0931703299283981E-11</v>
      </c>
      <c r="AS32" s="98"/>
      <c r="AT32" s="54"/>
      <c r="AU32" s="54">
        <f>-IF((DATEDIF($B$24,$B32,"M"))&lt;'Fee Recovery Calculation'!$J$4,'Fee Recovery Calculation'!$O$27,0)</f>
        <v>0</v>
      </c>
      <c r="AV32" s="119">
        <f t="shared" si="9"/>
        <v>-2.3283064365386963E-9</v>
      </c>
      <c r="AW32" s="123">
        <f>IF(ROUND(AU32,0)=0,0,(AV31+SUM($AW$27:AW31))*'Fee Recovery Calculation'!$R$4/12)</f>
        <v>0</v>
      </c>
    </row>
    <row r="33" spans="1:49" x14ac:dyDescent="0.3">
      <c r="A33" s="2" t="s">
        <v>41</v>
      </c>
      <c r="B33" s="52">
        <f t="shared" si="3"/>
        <v>46631</v>
      </c>
      <c r="C33" s="53"/>
      <c r="D33" s="54"/>
      <c r="E33" s="54">
        <f t="shared" si="17"/>
        <v>0</v>
      </c>
      <c r="F33" s="54">
        <f t="shared" si="11"/>
        <v>0</v>
      </c>
      <c r="G33" s="54">
        <f t="shared" si="0"/>
        <v>0</v>
      </c>
      <c r="H33" s="58">
        <f t="shared" si="1"/>
        <v>-1.3678800314664841E-9</v>
      </c>
      <c r="I33" s="5"/>
      <c r="J33" s="98"/>
      <c r="K33" s="54"/>
      <c r="L33" s="54">
        <f>'Fee Recovery Calculation'!$Q$18*'Fee Recovery by MP w True-Up '!$AW33</f>
        <v>0</v>
      </c>
      <c r="M33" s="54">
        <f>-IFERROR(IF((DATEDIF($B$24,$B33,"M"))&lt;'Fee Recovery Calculation'!$J$4,'Fee Recovery Calculation'!$R$18,0)/('Fee Recovery Calculation'!$J$4),0)</f>
        <v>0</v>
      </c>
      <c r="N33" s="54">
        <f>-IF((DATEDIF($B$24,$B33,"M"))&lt;'Fee Recovery Calculation'!$J$4,'Fee Recovery Calculation'!$T$18,0)</f>
        <v>0</v>
      </c>
      <c r="O33" s="104">
        <f t="shared" si="12"/>
        <v>-1.3969838619232178E-9</v>
      </c>
      <c r="Q33" s="98"/>
      <c r="R33" s="54"/>
      <c r="S33" s="54">
        <f>'Fee Recovery Calculation'!$Q$19*'Fee Recovery by MP w True-Up '!$AW33</f>
        <v>0</v>
      </c>
      <c r="T33" s="54">
        <f>-IFERROR(IF((DATEDIF($B$24,$B33,"M"))&lt;'Fee Recovery Calculation'!$J$4,'Fee Recovery Calculation'!$R$19,0)/('Fee Recovery Calculation'!$J$4),0)</f>
        <v>0</v>
      </c>
      <c r="U33" s="54">
        <f>-IF((DATEDIF($B$24,$B33,"M"))&lt;'Fee Recovery Calculation'!$J$4,'Fee Recovery Calculation'!$T$19,0)</f>
        <v>0</v>
      </c>
      <c r="V33" s="104">
        <f t="shared" si="13"/>
        <v>-2.5465851649641991E-11</v>
      </c>
      <c r="X33" s="98"/>
      <c r="Y33" s="54"/>
      <c r="Z33" s="54">
        <f>'Fee Recovery Calculation'!$Q$20*'Fee Recovery by MP w True-Up '!$AW33</f>
        <v>0</v>
      </c>
      <c r="AA33" s="54">
        <f>-IFERROR(IF((DATEDIF($B$24,$B33,"M"))&lt;'Fee Recovery Calculation'!$J$4,'Fee Recovery Calculation'!$R$20,0)/('Fee Recovery Calculation'!$J$4),0)</f>
        <v>0</v>
      </c>
      <c r="AB33" s="54">
        <f>-IF((DATEDIF($B$24,$B33,"M"))&lt;'Fee Recovery Calculation'!$J$4,'Fee Recovery Calculation'!$T$20,0)</f>
        <v>0</v>
      </c>
      <c r="AC33" s="104">
        <f t="shared" si="14"/>
        <v>1.8189894035458565E-12</v>
      </c>
      <c r="AE33" s="98"/>
      <c r="AF33" s="54"/>
      <c r="AG33" s="54">
        <f>'Fee Recovery Calculation'!$Q$21*'Fee Recovery by MP w True-Up '!$AW33</f>
        <v>0</v>
      </c>
      <c r="AH33" s="54">
        <f>-IFERROR(IF((DATEDIF($B$24,$B33,"M"))&lt;'Fee Recovery Calculation'!$J$4,'Fee Recovery Calculation'!$R$21,0)/('Fee Recovery Calculation'!$J$4),0)</f>
        <v>0</v>
      </c>
      <c r="AI33" s="54">
        <f>-IF((DATEDIF($B$24,$B33,"M"))&lt;'Fee Recovery Calculation'!$J$4,'Fee Recovery Calculation'!$T$21,0)</f>
        <v>0</v>
      </c>
      <c r="AJ33" s="104">
        <f t="shared" si="15"/>
        <v>1.8189894035458565E-12</v>
      </c>
      <c r="AL33" s="98"/>
      <c r="AM33" s="54"/>
      <c r="AN33" s="54">
        <f>'Fee Recovery Calculation'!$Q$22*'Fee Recovery by MP w True-Up '!$AW33</f>
        <v>0</v>
      </c>
      <c r="AO33" s="54">
        <f>-IFERROR(IF((DATEDIF($B$24,$B33,"M"))&lt;'Fee Recovery Calculation'!$J$4,'Fee Recovery Calculation'!$R$22,0)/('Fee Recovery Calculation'!$J$4),0)</f>
        <v>0</v>
      </c>
      <c r="AP33" s="54">
        <f>-IF((DATEDIF($B$24,$B33,"M"))&lt;'Fee Recovery Calculation'!$J$4,'Fee Recovery Calculation'!$T$22,0)</f>
        <v>0</v>
      </c>
      <c r="AQ33" s="104">
        <f t="shared" si="16"/>
        <v>5.0931703299283981E-11</v>
      </c>
      <c r="AS33" s="98"/>
      <c r="AT33" s="54"/>
      <c r="AU33" s="54">
        <f>-IF((DATEDIF($B$24,$B33,"M"))&lt;'Fee Recovery Calculation'!$J$4,'Fee Recovery Calculation'!$O$27,0)</f>
        <v>0</v>
      </c>
      <c r="AV33" s="119">
        <f t="shared" si="9"/>
        <v>-2.3283064365386963E-9</v>
      </c>
      <c r="AW33" s="123">
        <f>IF(ROUND(AU33,0)=0,0,(AV32+SUM($AW$27:AW32))*'Fee Recovery Calculation'!$R$4/12)</f>
        <v>0</v>
      </c>
    </row>
    <row r="34" spans="1:49" x14ac:dyDescent="0.3">
      <c r="A34" s="2" t="s">
        <v>41</v>
      </c>
      <c r="B34" s="52">
        <f t="shared" si="3"/>
        <v>46661</v>
      </c>
      <c r="C34" s="53"/>
      <c r="D34" s="54"/>
      <c r="E34" s="54">
        <f t="shared" si="17"/>
        <v>0</v>
      </c>
      <c r="F34" s="54">
        <f t="shared" si="11"/>
        <v>0</v>
      </c>
      <c r="G34" s="54">
        <f t="shared" si="0"/>
        <v>0</v>
      </c>
      <c r="H34" s="58">
        <f t="shared" si="1"/>
        <v>-1.3678800314664841E-9</v>
      </c>
      <c r="I34" s="5"/>
      <c r="J34" s="98"/>
      <c r="K34" s="54"/>
      <c r="L34" s="54">
        <f>'Fee Recovery Calculation'!$Q$18*'Fee Recovery by MP w True-Up '!$AW34</f>
        <v>0</v>
      </c>
      <c r="M34" s="54">
        <f>-IFERROR(IF((DATEDIF($B$24,$B34,"M"))&lt;'Fee Recovery Calculation'!$J$4,'Fee Recovery Calculation'!$R$18,0)/('Fee Recovery Calculation'!$J$4),0)</f>
        <v>0</v>
      </c>
      <c r="N34" s="54">
        <f>-IF((DATEDIF($B$24,$B34,"M"))&lt;'Fee Recovery Calculation'!$J$4,'Fee Recovery Calculation'!$T$18,0)</f>
        <v>0</v>
      </c>
      <c r="O34" s="104">
        <f t="shared" si="12"/>
        <v>-1.3969838619232178E-9</v>
      </c>
      <c r="Q34" s="98"/>
      <c r="R34" s="54"/>
      <c r="S34" s="54">
        <f>'Fee Recovery Calculation'!$Q$19*'Fee Recovery by MP w True-Up '!$AW34</f>
        <v>0</v>
      </c>
      <c r="T34" s="54">
        <f>-IFERROR(IF((DATEDIF($B$24,$B34,"M"))&lt;'Fee Recovery Calculation'!$J$4,'Fee Recovery Calculation'!$R$19,0)/('Fee Recovery Calculation'!$J$4),0)</f>
        <v>0</v>
      </c>
      <c r="U34" s="54">
        <f>-IF((DATEDIF($B$24,$B34,"M"))&lt;'Fee Recovery Calculation'!$J$4,'Fee Recovery Calculation'!$T$19,0)</f>
        <v>0</v>
      </c>
      <c r="V34" s="104">
        <f t="shared" si="13"/>
        <v>-2.5465851649641991E-11</v>
      </c>
      <c r="X34" s="98"/>
      <c r="Y34" s="54"/>
      <c r="Z34" s="54">
        <f>'Fee Recovery Calculation'!$Q$20*'Fee Recovery by MP w True-Up '!$AW34</f>
        <v>0</v>
      </c>
      <c r="AA34" s="54">
        <f>-IFERROR(IF((DATEDIF($B$24,$B34,"M"))&lt;'Fee Recovery Calculation'!$J$4,'Fee Recovery Calculation'!$R$20,0)/('Fee Recovery Calculation'!$J$4),0)</f>
        <v>0</v>
      </c>
      <c r="AB34" s="54">
        <f>-IF((DATEDIF($B$24,$B34,"M"))&lt;'Fee Recovery Calculation'!$J$4,'Fee Recovery Calculation'!$T$20,0)</f>
        <v>0</v>
      </c>
      <c r="AC34" s="104">
        <f t="shared" si="14"/>
        <v>1.8189894035458565E-12</v>
      </c>
      <c r="AE34" s="98"/>
      <c r="AF34" s="54"/>
      <c r="AG34" s="54">
        <f>'Fee Recovery Calculation'!$Q$21*'Fee Recovery by MP w True-Up '!$AW34</f>
        <v>0</v>
      </c>
      <c r="AH34" s="54">
        <f>-IFERROR(IF((DATEDIF($B$24,$B34,"M"))&lt;'Fee Recovery Calculation'!$J$4,'Fee Recovery Calculation'!$R$21,0)/('Fee Recovery Calculation'!$J$4),0)</f>
        <v>0</v>
      </c>
      <c r="AI34" s="54">
        <f>-IF((DATEDIF($B$24,$B34,"M"))&lt;'Fee Recovery Calculation'!$J$4,'Fee Recovery Calculation'!$T$21,0)</f>
        <v>0</v>
      </c>
      <c r="AJ34" s="104">
        <f t="shared" si="15"/>
        <v>1.8189894035458565E-12</v>
      </c>
      <c r="AL34" s="98"/>
      <c r="AM34" s="54"/>
      <c r="AN34" s="54">
        <f>'Fee Recovery Calculation'!$Q$22*'Fee Recovery by MP w True-Up '!$AW34</f>
        <v>0</v>
      </c>
      <c r="AO34" s="54">
        <f>-IFERROR(IF((DATEDIF($B$24,$B34,"M"))&lt;'Fee Recovery Calculation'!$J$4,'Fee Recovery Calculation'!$R$22,0)/('Fee Recovery Calculation'!$J$4),0)</f>
        <v>0</v>
      </c>
      <c r="AP34" s="54">
        <f>-IF((DATEDIF($B$24,$B34,"M"))&lt;'Fee Recovery Calculation'!$J$4,'Fee Recovery Calculation'!$T$22,0)</f>
        <v>0</v>
      </c>
      <c r="AQ34" s="104">
        <f t="shared" si="16"/>
        <v>5.0931703299283981E-11</v>
      </c>
      <c r="AS34" s="98"/>
      <c r="AT34" s="54"/>
      <c r="AU34" s="54">
        <f>-IF((DATEDIF($B$24,$B34,"M"))&lt;'Fee Recovery Calculation'!$J$4,'Fee Recovery Calculation'!$O$27,0)</f>
        <v>0</v>
      </c>
      <c r="AV34" s="119">
        <f t="shared" si="9"/>
        <v>-2.3283064365386963E-9</v>
      </c>
      <c r="AW34" s="123">
        <f>IF(ROUND(AU34,0)=0,0,(AV33+SUM($AW$27:AW33))*'Fee Recovery Calculation'!$R$4/12)</f>
        <v>0</v>
      </c>
    </row>
    <row r="35" spans="1:49" x14ac:dyDescent="0.3">
      <c r="A35" s="2" t="s">
        <v>41</v>
      </c>
      <c r="B35" s="52">
        <f t="shared" si="3"/>
        <v>46692</v>
      </c>
      <c r="C35" s="53"/>
      <c r="D35" s="54"/>
      <c r="E35" s="54">
        <f t="shared" si="17"/>
        <v>0</v>
      </c>
      <c r="F35" s="54">
        <f t="shared" si="11"/>
        <v>0</v>
      </c>
      <c r="G35" s="54">
        <f t="shared" si="0"/>
        <v>0</v>
      </c>
      <c r="H35" s="58">
        <f t="shared" si="1"/>
        <v>-1.3678800314664841E-9</v>
      </c>
      <c r="I35" s="5"/>
      <c r="J35" s="98"/>
      <c r="K35" s="54"/>
      <c r="L35" s="54">
        <f>'Fee Recovery Calculation'!$Q$18*'Fee Recovery by MP w True-Up '!$AW35</f>
        <v>0</v>
      </c>
      <c r="M35" s="54">
        <f>-IFERROR(IF((DATEDIF($B$24,$B35,"M"))&lt;'Fee Recovery Calculation'!$J$4,'Fee Recovery Calculation'!$R$18,0)/('Fee Recovery Calculation'!$J$4),0)</f>
        <v>0</v>
      </c>
      <c r="N35" s="54">
        <f>-IF((DATEDIF($B$24,$B35,"M"))&lt;'Fee Recovery Calculation'!$J$4,'Fee Recovery Calculation'!$T$18,0)</f>
        <v>0</v>
      </c>
      <c r="O35" s="104">
        <f t="shared" si="12"/>
        <v>-1.3969838619232178E-9</v>
      </c>
      <c r="Q35" s="98"/>
      <c r="R35" s="54"/>
      <c r="S35" s="54">
        <f>'Fee Recovery Calculation'!$Q$19*'Fee Recovery by MP w True-Up '!$AW35</f>
        <v>0</v>
      </c>
      <c r="T35" s="54">
        <f>-IFERROR(IF((DATEDIF($B$24,$B35,"M"))&lt;'Fee Recovery Calculation'!$J$4,'Fee Recovery Calculation'!$R$19,0)/('Fee Recovery Calculation'!$J$4),0)</f>
        <v>0</v>
      </c>
      <c r="U35" s="54">
        <f>-IF((DATEDIF($B$24,$B35,"M"))&lt;'Fee Recovery Calculation'!$J$4,'Fee Recovery Calculation'!$T$19,0)</f>
        <v>0</v>
      </c>
      <c r="V35" s="104">
        <f t="shared" si="13"/>
        <v>-2.5465851649641991E-11</v>
      </c>
      <c r="X35" s="98"/>
      <c r="Y35" s="54"/>
      <c r="Z35" s="54">
        <f>'Fee Recovery Calculation'!$Q$20*'Fee Recovery by MP w True-Up '!$AW35</f>
        <v>0</v>
      </c>
      <c r="AA35" s="54">
        <f>-IFERROR(IF((DATEDIF($B$24,$B35,"M"))&lt;'Fee Recovery Calculation'!$J$4,'Fee Recovery Calculation'!$R$20,0)/('Fee Recovery Calculation'!$J$4),0)</f>
        <v>0</v>
      </c>
      <c r="AB35" s="54">
        <f>-IF((DATEDIF($B$24,$B35,"M"))&lt;'Fee Recovery Calculation'!$J$4,'Fee Recovery Calculation'!$T$20,0)</f>
        <v>0</v>
      </c>
      <c r="AC35" s="104">
        <f t="shared" si="14"/>
        <v>1.8189894035458565E-12</v>
      </c>
      <c r="AE35" s="98"/>
      <c r="AF35" s="54"/>
      <c r="AG35" s="54">
        <f>'Fee Recovery Calculation'!$Q$21*'Fee Recovery by MP w True-Up '!$AW35</f>
        <v>0</v>
      </c>
      <c r="AH35" s="54">
        <f>-IFERROR(IF((DATEDIF($B$24,$B35,"M"))&lt;'Fee Recovery Calculation'!$J$4,'Fee Recovery Calculation'!$R$21,0)/('Fee Recovery Calculation'!$J$4),0)</f>
        <v>0</v>
      </c>
      <c r="AI35" s="54">
        <f>-IF((DATEDIF($B$24,$B35,"M"))&lt;'Fee Recovery Calculation'!$J$4,'Fee Recovery Calculation'!$T$21,0)</f>
        <v>0</v>
      </c>
      <c r="AJ35" s="104">
        <f t="shared" si="15"/>
        <v>1.8189894035458565E-12</v>
      </c>
      <c r="AL35" s="98"/>
      <c r="AM35" s="54"/>
      <c r="AN35" s="54">
        <f>'Fee Recovery Calculation'!$Q$22*'Fee Recovery by MP w True-Up '!$AW35</f>
        <v>0</v>
      </c>
      <c r="AO35" s="54">
        <f>-IFERROR(IF((DATEDIF($B$24,$B35,"M"))&lt;'Fee Recovery Calculation'!$J$4,'Fee Recovery Calculation'!$R$22,0)/('Fee Recovery Calculation'!$J$4),0)</f>
        <v>0</v>
      </c>
      <c r="AP35" s="54">
        <f>-IF((DATEDIF($B$24,$B35,"M"))&lt;'Fee Recovery Calculation'!$J$4,'Fee Recovery Calculation'!$T$22,0)</f>
        <v>0</v>
      </c>
      <c r="AQ35" s="104">
        <f t="shared" si="16"/>
        <v>5.0931703299283981E-11</v>
      </c>
      <c r="AS35" s="98"/>
      <c r="AT35" s="54"/>
      <c r="AU35" s="54">
        <f>-IF((DATEDIF($B$24,$B35,"M"))&lt;'Fee Recovery Calculation'!$J$4,'Fee Recovery Calculation'!$O$27,0)</f>
        <v>0</v>
      </c>
      <c r="AV35" s="119">
        <f t="shared" si="9"/>
        <v>-2.3283064365386963E-9</v>
      </c>
      <c r="AW35" s="123">
        <f>IF(ROUND(AU35,0)=0,0,(AV34+SUM($AW$27:AW34))*'Fee Recovery Calculation'!$R$4/12)</f>
        <v>0</v>
      </c>
    </row>
    <row r="36" spans="1:49" x14ac:dyDescent="0.3">
      <c r="A36" s="2" t="s">
        <v>41</v>
      </c>
      <c r="B36" s="52">
        <f t="shared" si="3"/>
        <v>46722</v>
      </c>
      <c r="C36" s="53"/>
      <c r="D36" s="54"/>
      <c r="E36" s="54">
        <f t="shared" si="17"/>
        <v>0</v>
      </c>
      <c r="F36" s="54">
        <f t="shared" si="11"/>
        <v>0</v>
      </c>
      <c r="G36" s="54">
        <f t="shared" si="0"/>
        <v>0</v>
      </c>
      <c r="H36" s="58">
        <f t="shared" si="1"/>
        <v>-1.3678800314664841E-9</v>
      </c>
      <c r="I36" s="5"/>
      <c r="J36" s="98"/>
      <c r="K36" s="54"/>
      <c r="L36" s="54">
        <f>'Fee Recovery Calculation'!$Q$18*'Fee Recovery by MP w True-Up '!$AW36</f>
        <v>0</v>
      </c>
      <c r="M36" s="54">
        <f>-IFERROR(IF((DATEDIF($B$24,$B36,"M"))&lt;'Fee Recovery Calculation'!$J$4,'Fee Recovery Calculation'!$R$18,0)/('Fee Recovery Calculation'!$J$4),0)</f>
        <v>0</v>
      </c>
      <c r="N36" s="54">
        <f>-IF((DATEDIF($B$24,$B36,"M"))&lt;'Fee Recovery Calculation'!$J$4,'Fee Recovery Calculation'!$T$18,0)</f>
        <v>0</v>
      </c>
      <c r="O36" s="104">
        <f t="shared" si="12"/>
        <v>-1.3969838619232178E-9</v>
      </c>
      <c r="Q36" s="98"/>
      <c r="R36" s="54"/>
      <c r="S36" s="54">
        <f>'Fee Recovery Calculation'!$Q$19*'Fee Recovery by MP w True-Up '!$AW36</f>
        <v>0</v>
      </c>
      <c r="T36" s="54">
        <f>-IFERROR(IF((DATEDIF($B$24,$B36,"M"))&lt;'Fee Recovery Calculation'!$J$4,'Fee Recovery Calculation'!$R$19,0)/('Fee Recovery Calculation'!$J$4),0)</f>
        <v>0</v>
      </c>
      <c r="U36" s="54">
        <f>-IF((DATEDIF($B$24,$B36,"M"))&lt;'Fee Recovery Calculation'!$J$4,'Fee Recovery Calculation'!$T$19,0)</f>
        <v>0</v>
      </c>
      <c r="V36" s="104">
        <f t="shared" si="13"/>
        <v>-2.5465851649641991E-11</v>
      </c>
      <c r="X36" s="98"/>
      <c r="Y36" s="54"/>
      <c r="Z36" s="54">
        <f>'Fee Recovery Calculation'!$Q$20*'Fee Recovery by MP w True-Up '!$AW36</f>
        <v>0</v>
      </c>
      <c r="AA36" s="54">
        <f>-IFERROR(IF((DATEDIF($B$24,$B36,"M"))&lt;'Fee Recovery Calculation'!$J$4,'Fee Recovery Calculation'!$R$20,0)/('Fee Recovery Calculation'!$J$4),0)</f>
        <v>0</v>
      </c>
      <c r="AB36" s="54">
        <f>-IF((DATEDIF($B$24,$B36,"M"))&lt;'Fee Recovery Calculation'!$J$4,'Fee Recovery Calculation'!$T$20,0)</f>
        <v>0</v>
      </c>
      <c r="AC36" s="104">
        <f t="shared" si="14"/>
        <v>1.8189894035458565E-12</v>
      </c>
      <c r="AE36" s="98"/>
      <c r="AF36" s="54"/>
      <c r="AG36" s="54">
        <f>'Fee Recovery Calculation'!$Q$21*'Fee Recovery by MP w True-Up '!$AW36</f>
        <v>0</v>
      </c>
      <c r="AH36" s="54">
        <f>-IFERROR(IF((DATEDIF($B$24,$B36,"M"))&lt;'Fee Recovery Calculation'!$J$4,'Fee Recovery Calculation'!$R$21,0)/('Fee Recovery Calculation'!$J$4),0)</f>
        <v>0</v>
      </c>
      <c r="AI36" s="54">
        <f>-IF((DATEDIF($B$24,$B36,"M"))&lt;'Fee Recovery Calculation'!$J$4,'Fee Recovery Calculation'!$T$21,0)</f>
        <v>0</v>
      </c>
      <c r="AJ36" s="104">
        <f t="shared" si="15"/>
        <v>1.8189894035458565E-12</v>
      </c>
      <c r="AL36" s="98"/>
      <c r="AM36" s="54"/>
      <c r="AN36" s="54">
        <f>'Fee Recovery Calculation'!$Q$22*'Fee Recovery by MP w True-Up '!$AW36</f>
        <v>0</v>
      </c>
      <c r="AO36" s="54">
        <f>-IFERROR(IF((DATEDIF($B$24,$B36,"M"))&lt;'Fee Recovery Calculation'!$J$4,'Fee Recovery Calculation'!$R$22,0)/('Fee Recovery Calculation'!$J$4),0)</f>
        <v>0</v>
      </c>
      <c r="AP36" s="54">
        <f>-IF((DATEDIF($B$24,$B36,"M"))&lt;'Fee Recovery Calculation'!$J$4,'Fee Recovery Calculation'!$T$22,0)</f>
        <v>0</v>
      </c>
      <c r="AQ36" s="104">
        <f t="shared" si="16"/>
        <v>5.0931703299283981E-11</v>
      </c>
      <c r="AS36" s="98"/>
      <c r="AT36" s="54"/>
      <c r="AU36" s="54">
        <f>-IF((DATEDIF($B$24,$B36,"M"))&lt;'Fee Recovery Calculation'!$J$4,'Fee Recovery Calculation'!$O$27,0)</f>
        <v>0</v>
      </c>
      <c r="AV36" s="119">
        <f t="shared" si="9"/>
        <v>-2.3283064365386963E-9</v>
      </c>
      <c r="AW36" s="123">
        <f>IF(ROUND(AU36,0)=0,0,(AV35+SUM($AW$27:AW35))*'Fee Recovery Calculation'!$R$4/12)</f>
        <v>0</v>
      </c>
    </row>
    <row r="37" spans="1:49" x14ac:dyDescent="0.3">
      <c r="A37" s="2" t="s">
        <v>41</v>
      </c>
      <c r="B37" s="52">
        <f t="shared" si="3"/>
        <v>46753</v>
      </c>
      <c r="C37" s="53"/>
      <c r="D37" s="54"/>
      <c r="E37" s="54">
        <f t="shared" si="17"/>
        <v>0</v>
      </c>
      <c r="F37" s="54">
        <f t="shared" si="11"/>
        <v>0</v>
      </c>
      <c r="G37" s="54">
        <f t="shared" si="0"/>
        <v>0</v>
      </c>
      <c r="H37" s="58">
        <f t="shared" si="1"/>
        <v>-1.3678800314664841E-9</v>
      </c>
      <c r="I37" s="5"/>
      <c r="J37" s="98"/>
      <c r="K37" s="54"/>
      <c r="L37" s="54">
        <f>'Fee Recovery Calculation'!$Q$18*'Fee Recovery by MP w True-Up '!$AW37</f>
        <v>0</v>
      </c>
      <c r="M37" s="54">
        <f>-IFERROR(IF((DATEDIF($B$24,$B37,"M"))&lt;'Fee Recovery Calculation'!$J$4,'Fee Recovery Calculation'!$R$18,0)/('Fee Recovery Calculation'!$J$4),0)</f>
        <v>0</v>
      </c>
      <c r="N37" s="54">
        <f>-IF((DATEDIF($B$24,$B37,"M"))&lt;'Fee Recovery Calculation'!$J$4,'Fee Recovery Calculation'!$T$18,0)</f>
        <v>0</v>
      </c>
      <c r="O37" s="104">
        <f t="shared" si="12"/>
        <v>-1.3969838619232178E-9</v>
      </c>
      <c r="Q37" s="98"/>
      <c r="R37" s="54"/>
      <c r="S37" s="54">
        <f>'Fee Recovery Calculation'!$Q$19*'Fee Recovery by MP w True-Up '!$AW37</f>
        <v>0</v>
      </c>
      <c r="T37" s="54">
        <f>-IFERROR(IF((DATEDIF($B$24,$B37,"M"))&lt;'Fee Recovery Calculation'!$J$4,'Fee Recovery Calculation'!$R$19,0)/('Fee Recovery Calculation'!$J$4),0)</f>
        <v>0</v>
      </c>
      <c r="U37" s="54">
        <f>-IF((DATEDIF($B$24,$B37,"M"))&lt;'Fee Recovery Calculation'!$J$4,'Fee Recovery Calculation'!$T$19,0)</f>
        <v>0</v>
      </c>
      <c r="V37" s="104">
        <f t="shared" si="13"/>
        <v>-2.5465851649641991E-11</v>
      </c>
      <c r="X37" s="98"/>
      <c r="Y37" s="54"/>
      <c r="Z37" s="54">
        <f>'Fee Recovery Calculation'!$Q$20*'Fee Recovery by MP w True-Up '!$AW37</f>
        <v>0</v>
      </c>
      <c r="AA37" s="54">
        <f>-IFERROR(IF((DATEDIF($B$24,$B37,"M"))&lt;'Fee Recovery Calculation'!$J$4,'Fee Recovery Calculation'!$R$20,0)/('Fee Recovery Calculation'!$J$4),0)</f>
        <v>0</v>
      </c>
      <c r="AB37" s="54">
        <f>-IF((DATEDIF($B$24,$B37,"M"))&lt;'Fee Recovery Calculation'!$J$4,'Fee Recovery Calculation'!$T$20,0)</f>
        <v>0</v>
      </c>
      <c r="AC37" s="104">
        <f t="shared" si="14"/>
        <v>1.8189894035458565E-12</v>
      </c>
      <c r="AE37" s="98"/>
      <c r="AF37" s="54"/>
      <c r="AG37" s="54">
        <f>'Fee Recovery Calculation'!$Q$21*'Fee Recovery by MP w True-Up '!$AW37</f>
        <v>0</v>
      </c>
      <c r="AH37" s="54">
        <f>-IFERROR(IF((DATEDIF($B$24,$B37,"M"))&lt;'Fee Recovery Calculation'!$J$4,'Fee Recovery Calculation'!$R$21,0)/('Fee Recovery Calculation'!$J$4),0)</f>
        <v>0</v>
      </c>
      <c r="AI37" s="54">
        <f>-IF((DATEDIF($B$24,$B37,"M"))&lt;'Fee Recovery Calculation'!$J$4,'Fee Recovery Calculation'!$T$21,0)</f>
        <v>0</v>
      </c>
      <c r="AJ37" s="104">
        <f t="shared" si="15"/>
        <v>1.8189894035458565E-12</v>
      </c>
      <c r="AL37" s="98"/>
      <c r="AM37" s="54"/>
      <c r="AN37" s="54">
        <f>'Fee Recovery Calculation'!$Q$22*'Fee Recovery by MP w True-Up '!$AW37</f>
        <v>0</v>
      </c>
      <c r="AO37" s="54">
        <f>-IFERROR(IF((DATEDIF($B$24,$B37,"M"))&lt;'Fee Recovery Calculation'!$J$4,'Fee Recovery Calculation'!$R$22,0)/('Fee Recovery Calculation'!$J$4),0)</f>
        <v>0</v>
      </c>
      <c r="AP37" s="54">
        <f>-IF((DATEDIF($B$24,$B37,"M"))&lt;'Fee Recovery Calculation'!$J$4,'Fee Recovery Calculation'!$T$22,0)</f>
        <v>0</v>
      </c>
      <c r="AQ37" s="104">
        <f t="shared" si="16"/>
        <v>5.0931703299283981E-11</v>
      </c>
      <c r="AS37" s="98"/>
      <c r="AT37" s="54"/>
      <c r="AU37" s="54">
        <f>-IF((DATEDIF($B$24,$B37,"M"))&lt;'Fee Recovery Calculation'!$J$4,'Fee Recovery Calculation'!$O$27,0)</f>
        <v>0</v>
      </c>
      <c r="AV37" s="119">
        <f t="shared" si="9"/>
        <v>-2.3283064365386963E-9</v>
      </c>
      <c r="AW37" s="123">
        <f>IF(ROUND(AU37,0)=0,0,(AV36+SUM($AW$27:AW36))*'Fee Recovery Calculation'!$R$4/12)</f>
        <v>0</v>
      </c>
    </row>
    <row r="38" spans="1:49" x14ac:dyDescent="0.3">
      <c r="A38" s="2" t="s">
        <v>41</v>
      </c>
      <c r="B38" s="52">
        <f t="shared" si="3"/>
        <v>46784</v>
      </c>
      <c r="C38" s="53"/>
      <c r="D38" s="54"/>
      <c r="E38" s="54">
        <f t="shared" si="17"/>
        <v>0</v>
      </c>
      <c r="F38" s="54">
        <f t="shared" si="11"/>
        <v>0</v>
      </c>
      <c r="G38" s="54">
        <f t="shared" si="0"/>
        <v>0</v>
      </c>
      <c r="H38" s="58">
        <f t="shared" si="1"/>
        <v>-1.3678800314664841E-9</v>
      </c>
      <c r="I38" s="5"/>
      <c r="J38" s="98"/>
      <c r="K38" s="54"/>
      <c r="L38" s="54">
        <f>'Fee Recovery Calculation'!$Q$18*'Fee Recovery by MP w True-Up '!$AW38</f>
        <v>0</v>
      </c>
      <c r="M38" s="54">
        <f>-IFERROR(IF((DATEDIF($B$24,$B38,"M"))&lt;'Fee Recovery Calculation'!$J$4,'Fee Recovery Calculation'!$R$18,0)/('Fee Recovery Calculation'!$J$4),0)</f>
        <v>0</v>
      </c>
      <c r="N38" s="54">
        <f>-IF((DATEDIF($B$24,$B38,"M"))&lt;'Fee Recovery Calculation'!$J$4,'Fee Recovery Calculation'!$T$18,0)</f>
        <v>0</v>
      </c>
      <c r="O38" s="104">
        <f t="shared" si="12"/>
        <v>-1.3969838619232178E-9</v>
      </c>
      <c r="Q38" s="98"/>
      <c r="R38" s="54"/>
      <c r="S38" s="54">
        <f>'Fee Recovery Calculation'!$Q$19*'Fee Recovery by MP w True-Up '!$AW38</f>
        <v>0</v>
      </c>
      <c r="T38" s="54">
        <f>-IFERROR(IF((DATEDIF($B$24,$B38,"M"))&lt;'Fee Recovery Calculation'!$J$4,'Fee Recovery Calculation'!$R$19,0)/('Fee Recovery Calculation'!$J$4),0)</f>
        <v>0</v>
      </c>
      <c r="U38" s="54">
        <f>-IF((DATEDIF($B$24,$B38,"M"))&lt;'Fee Recovery Calculation'!$J$4,'Fee Recovery Calculation'!$T$19,0)</f>
        <v>0</v>
      </c>
      <c r="V38" s="104">
        <f t="shared" si="13"/>
        <v>-2.5465851649641991E-11</v>
      </c>
      <c r="X38" s="98"/>
      <c r="Y38" s="54"/>
      <c r="Z38" s="54">
        <f>'Fee Recovery Calculation'!$Q$20*'Fee Recovery by MP w True-Up '!$AW38</f>
        <v>0</v>
      </c>
      <c r="AA38" s="54">
        <f>-IFERROR(IF((DATEDIF($B$24,$B38,"M"))&lt;'Fee Recovery Calculation'!$J$4,'Fee Recovery Calculation'!$R$20,0)/('Fee Recovery Calculation'!$J$4),0)</f>
        <v>0</v>
      </c>
      <c r="AB38" s="54">
        <f>-IF((DATEDIF($B$24,$B38,"M"))&lt;'Fee Recovery Calculation'!$J$4,'Fee Recovery Calculation'!$T$20,0)</f>
        <v>0</v>
      </c>
      <c r="AC38" s="104">
        <f t="shared" si="14"/>
        <v>1.8189894035458565E-12</v>
      </c>
      <c r="AE38" s="98"/>
      <c r="AF38" s="54"/>
      <c r="AG38" s="54">
        <f>'Fee Recovery Calculation'!$Q$21*'Fee Recovery by MP w True-Up '!$AW38</f>
        <v>0</v>
      </c>
      <c r="AH38" s="54">
        <f>-IFERROR(IF((DATEDIF($B$24,$B38,"M"))&lt;'Fee Recovery Calculation'!$J$4,'Fee Recovery Calculation'!$R$21,0)/('Fee Recovery Calculation'!$J$4),0)</f>
        <v>0</v>
      </c>
      <c r="AI38" s="54">
        <f>-IF((DATEDIF($B$24,$B38,"M"))&lt;'Fee Recovery Calculation'!$J$4,'Fee Recovery Calculation'!$T$21,0)</f>
        <v>0</v>
      </c>
      <c r="AJ38" s="104">
        <f t="shared" si="15"/>
        <v>1.8189894035458565E-12</v>
      </c>
      <c r="AL38" s="98"/>
      <c r="AM38" s="54"/>
      <c r="AN38" s="54">
        <f>'Fee Recovery Calculation'!$Q$22*'Fee Recovery by MP w True-Up '!$AW38</f>
        <v>0</v>
      </c>
      <c r="AO38" s="54">
        <f>-IFERROR(IF((DATEDIF($B$24,$B38,"M"))&lt;'Fee Recovery Calculation'!$J$4,'Fee Recovery Calculation'!$R$22,0)/('Fee Recovery Calculation'!$J$4),0)</f>
        <v>0</v>
      </c>
      <c r="AP38" s="54">
        <f>-IF((DATEDIF($B$24,$B38,"M"))&lt;'Fee Recovery Calculation'!$J$4,'Fee Recovery Calculation'!$T$22,0)</f>
        <v>0</v>
      </c>
      <c r="AQ38" s="104">
        <f t="shared" si="16"/>
        <v>5.0931703299283981E-11</v>
      </c>
      <c r="AS38" s="98"/>
      <c r="AT38" s="54"/>
      <c r="AU38" s="54">
        <f>-IF((DATEDIF($B$24,$B38,"M"))&lt;'Fee Recovery Calculation'!$J$4,'Fee Recovery Calculation'!$O$27,0)</f>
        <v>0</v>
      </c>
      <c r="AV38" s="119">
        <f t="shared" si="9"/>
        <v>-2.3283064365386963E-9</v>
      </c>
      <c r="AW38" s="123">
        <f>IF(ROUND(AU38,0)=0,0,(AV37+SUM($AW$27:AW37))*'Fee Recovery Calculation'!$R$4/12)</f>
        <v>0</v>
      </c>
    </row>
    <row r="39" spans="1:49" ht="15" thickBot="1" x14ac:dyDescent="0.35">
      <c r="A39" s="2" t="s">
        <v>41</v>
      </c>
      <c r="B39" s="55">
        <f t="shared" si="3"/>
        <v>46813</v>
      </c>
      <c r="C39" s="56"/>
      <c r="D39" s="57"/>
      <c r="E39" s="57">
        <f t="shared" si="17"/>
        <v>0</v>
      </c>
      <c r="F39" s="57">
        <f t="shared" si="11"/>
        <v>0</v>
      </c>
      <c r="G39" s="57">
        <f t="shared" si="0"/>
        <v>0</v>
      </c>
      <c r="H39" s="59">
        <f t="shared" si="1"/>
        <v>-1.3678800314664841E-9</v>
      </c>
      <c r="I39" s="5"/>
      <c r="J39" s="99"/>
      <c r="K39" s="57"/>
      <c r="L39" s="57">
        <f>'Fee Recovery Calculation'!$Q$18*'Fee Recovery by MP w True-Up '!$AW39</f>
        <v>0</v>
      </c>
      <c r="M39" s="57">
        <f>-IFERROR(IF((DATEDIF($B$24,$B39,"M"))&lt;'Fee Recovery Calculation'!$J$4,'Fee Recovery Calculation'!$R$18,0)/('Fee Recovery Calculation'!$J$4),0)</f>
        <v>0</v>
      </c>
      <c r="N39" s="57">
        <f>-IF((DATEDIF($B$24,$B39,"M"))&lt;'Fee Recovery Calculation'!$J$4,'Fee Recovery Calculation'!$T$18,0)</f>
        <v>0</v>
      </c>
      <c r="O39" s="106">
        <f t="shared" si="12"/>
        <v>-1.3969838619232178E-9</v>
      </c>
      <c r="Q39" s="99"/>
      <c r="R39" s="57"/>
      <c r="S39" s="57">
        <f>'Fee Recovery Calculation'!$Q$19*'Fee Recovery by MP w True-Up '!$AW39</f>
        <v>0</v>
      </c>
      <c r="T39" s="57">
        <f>-IFERROR(IF((DATEDIF($B$24,$B39,"M"))&lt;'Fee Recovery Calculation'!$J$4,'Fee Recovery Calculation'!$R$19,0)/('Fee Recovery Calculation'!$J$4),0)</f>
        <v>0</v>
      </c>
      <c r="U39" s="57">
        <f>-IF((DATEDIF($B$24,$B39,"M"))&lt;'Fee Recovery Calculation'!$J$4,'Fee Recovery Calculation'!$T$19,0)</f>
        <v>0</v>
      </c>
      <c r="V39" s="106">
        <f t="shared" si="13"/>
        <v>-2.5465851649641991E-11</v>
      </c>
      <c r="X39" s="99"/>
      <c r="Y39" s="57"/>
      <c r="Z39" s="57">
        <f>'Fee Recovery Calculation'!$Q$20*'Fee Recovery by MP w True-Up '!$AW39</f>
        <v>0</v>
      </c>
      <c r="AA39" s="57">
        <f>-IFERROR(IF((DATEDIF($B$24,$B39,"M"))&lt;'Fee Recovery Calculation'!$J$4,'Fee Recovery Calculation'!$R$20,0)/('Fee Recovery Calculation'!$J$4),0)</f>
        <v>0</v>
      </c>
      <c r="AB39" s="57">
        <f>-IF((DATEDIF($B$24,$B39,"M"))&lt;'Fee Recovery Calculation'!$J$4,'Fee Recovery Calculation'!$T$20,0)</f>
        <v>0</v>
      </c>
      <c r="AC39" s="106">
        <f t="shared" si="14"/>
        <v>1.8189894035458565E-12</v>
      </c>
      <c r="AE39" s="99"/>
      <c r="AF39" s="57"/>
      <c r="AG39" s="57">
        <f>'Fee Recovery Calculation'!$Q$21*'Fee Recovery by MP w True-Up '!$AW39</f>
        <v>0</v>
      </c>
      <c r="AH39" s="57">
        <f>-IFERROR(IF((DATEDIF($B$24,$B39,"M"))&lt;'Fee Recovery Calculation'!$J$4,'Fee Recovery Calculation'!$R$21,0)/('Fee Recovery Calculation'!$J$4),0)</f>
        <v>0</v>
      </c>
      <c r="AI39" s="57">
        <f>-IF((DATEDIF($B$24,$B39,"M"))&lt;'Fee Recovery Calculation'!$J$4,'Fee Recovery Calculation'!$T$21,0)</f>
        <v>0</v>
      </c>
      <c r="AJ39" s="106">
        <f t="shared" si="15"/>
        <v>1.8189894035458565E-12</v>
      </c>
      <c r="AL39" s="99"/>
      <c r="AM39" s="57"/>
      <c r="AN39" s="57">
        <f>'Fee Recovery Calculation'!$Q$22*'Fee Recovery by MP w True-Up '!$AW39</f>
        <v>0</v>
      </c>
      <c r="AO39" s="57">
        <f>-IFERROR(IF((DATEDIF($B$24,$B39,"M"))&lt;'Fee Recovery Calculation'!$J$4,'Fee Recovery Calculation'!$R$22,0)/('Fee Recovery Calculation'!$J$4),0)</f>
        <v>0</v>
      </c>
      <c r="AP39" s="57">
        <f>-IF((DATEDIF($B$24,$B39,"M"))&lt;'Fee Recovery Calculation'!$J$4,'Fee Recovery Calculation'!$T$22,0)</f>
        <v>0</v>
      </c>
      <c r="AQ39" s="106">
        <f t="shared" si="16"/>
        <v>5.0931703299283981E-11</v>
      </c>
      <c r="AS39" s="99"/>
      <c r="AT39" s="57"/>
      <c r="AU39" s="57">
        <f>-IF((DATEDIF($B$24,$B39,"M"))&lt;'Fee Recovery Calculation'!$J$4,'Fee Recovery Calculation'!$O$27,0)</f>
        <v>0</v>
      </c>
      <c r="AV39" s="193">
        <f>AS39+AT39+AU39+AV38</f>
        <v>-2.3283064365386963E-9</v>
      </c>
      <c r="AW39" s="126">
        <f>IF(ROUND(AU39,0)=0,0,(AV38+SUM($AW$27:AW38))*'Fee Recovery Calculation'!$R$4/12)</f>
        <v>0</v>
      </c>
    </row>
    <row r="40" spans="1:49" x14ac:dyDescent="0.3">
      <c r="B40" s="7"/>
      <c r="P40" s="5"/>
    </row>
    <row r="41" spans="1:49" x14ac:dyDescent="0.3">
      <c r="B41" s="28" t="s">
        <v>1</v>
      </c>
      <c r="C41" s="5">
        <f t="shared" ref="C41:G41" si="18">SUM(C4:C39)</f>
        <v>20156945</v>
      </c>
      <c r="D41" s="5">
        <f t="shared" si="18"/>
        <v>-313840.99999999994</v>
      </c>
      <c r="E41" s="5">
        <f t="shared" si="18"/>
        <v>0</v>
      </c>
      <c r="F41" s="5">
        <f t="shared" si="18"/>
        <v>0</v>
      </c>
      <c r="G41" s="5">
        <f t="shared" si="18"/>
        <v>-19843104</v>
      </c>
      <c r="H41" s="5">
        <f>H39</f>
        <v>-1.3678800314664841E-9</v>
      </c>
      <c r="J41" s="5">
        <f>SUM(J3:J39)</f>
        <v>19865999.733843554</v>
      </c>
      <c r="K41" s="5">
        <f>SUM(K3:K39)</f>
        <v>-309344.86218208337</v>
      </c>
      <c r="L41" s="5">
        <f t="shared" ref="L41:M41" si="19">SUM(L3:L39)</f>
        <v>0</v>
      </c>
      <c r="M41" s="5">
        <f t="shared" si="19"/>
        <v>0</v>
      </c>
      <c r="N41" s="5">
        <f>SUM(N4:N39)</f>
        <v>-19556654.871661469</v>
      </c>
      <c r="O41" s="5">
        <f>O39</f>
        <v>-1.3969838619232178E-9</v>
      </c>
      <c r="P41" s="5"/>
      <c r="Q41" s="5">
        <f>SUM(Q3:Q39)</f>
        <v>75138.622640298941</v>
      </c>
      <c r="R41" s="5">
        <f>SUM(R3:R39)</f>
        <v>-1161.1586168841527</v>
      </c>
      <c r="S41" s="5">
        <f t="shared" ref="S41:T41" si="20">SUM(S3:S39)</f>
        <v>0</v>
      </c>
      <c r="T41" s="5">
        <f t="shared" si="20"/>
        <v>0</v>
      </c>
      <c r="U41" s="5">
        <f>SUM(U3:U39)</f>
        <v>-73977.464023414825</v>
      </c>
      <c r="V41" s="5">
        <f>V39</f>
        <v>-2.5465851649641991E-11</v>
      </c>
      <c r="X41" s="5">
        <f>SUM(X3:X39)</f>
        <v>17930.032766529206</v>
      </c>
      <c r="Y41" s="5">
        <f>SUM(Y3:Y39)</f>
        <v>-277.08269484173957</v>
      </c>
      <c r="Z41" s="5">
        <f t="shared" ref="Z41:AA41" si="21">SUM(Z3:Z39)</f>
        <v>0</v>
      </c>
      <c r="AA41" s="5">
        <f t="shared" si="21"/>
        <v>0</v>
      </c>
      <c r="AB41" s="5">
        <f>SUM(AB3:AB39)</f>
        <v>-17652.950071687465</v>
      </c>
      <c r="AC41" s="5">
        <f>AC39</f>
        <v>1.8189894035458565E-12</v>
      </c>
      <c r="AE41" s="5">
        <f>SUM(AE3:AE39)</f>
        <v>27529.2527427694</v>
      </c>
      <c r="AF41" s="5">
        <f>SUM(AF3:AF39)</f>
        <v>-425.42474050494764</v>
      </c>
      <c r="AG41" s="5">
        <f t="shared" ref="AG41:AH41" si="22">SUM(AG3:AG39)</f>
        <v>0</v>
      </c>
      <c r="AH41" s="5">
        <f t="shared" si="22"/>
        <v>0</v>
      </c>
      <c r="AI41" s="5">
        <f>SUM(AI3:AI39)</f>
        <v>-27103.828002264447</v>
      </c>
      <c r="AJ41" s="5">
        <f>AJ39</f>
        <v>1.8189894035458565E-12</v>
      </c>
      <c r="AL41" s="5">
        <f>SUM(AL3:AL39)</f>
        <v>170347.35800685175</v>
      </c>
      <c r="AM41" s="5">
        <f>SUM(AM3:AM39)</f>
        <v>-2632.4717656857824</v>
      </c>
      <c r="AN41" s="5">
        <f t="shared" ref="AN41:AP41" si="23">SUM(AN3:AN39)</f>
        <v>0</v>
      </c>
      <c r="AO41" s="5">
        <f t="shared" si="23"/>
        <v>0</v>
      </c>
      <c r="AP41" s="5">
        <f t="shared" si="23"/>
        <v>-167714.88624116592</v>
      </c>
      <c r="AQ41" s="5">
        <f>AQ39</f>
        <v>5.0931703299283981E-11</v>
      </c>
      <c r="AS41" s="127">
        <f>SUM(AS3:AS39)</f>
        <v>20156945</v>
      </c>
      <c r="AT41" s="127">
        <f>SUM(AT3:AT39)</f>
        <v>-313840.99999999994</v>
      </c>
      <c r="AU41" s="127">
        <f>SUM(AU3:AU39)</f>
        <v>-19843104</v>
      </c>
      <c r="AV41" s="127">
        <f>AV39</f>
        <v>-2.3283064365386963E-9</v>
      </c>
      <c r="AW41" s="128">
        <f>SUM(AW27:AW39)</f>
        <v>0</v>
      </c>
    </row>
    <row r="42" spans="1:49" x14ac:dyDescent="0.3">
      <c r="B42" s="7"/>
      <c r="I42" s="8"/>
      <c r="J42" s="8"/>
      <c r="K42" s="8"/>
      <c r="L42" s="8"/>
      <c r="M42" s="8"/>
      <c r="Q42" s="8"/>
      <c r="R42" s="8"/>
      <c r="S42" s="8"/>
      <c r="T42" s="8"/>
      <c r="X42" s="8"/>
      <c r="Y42" s="8"/>
      <c r="Z42" s="8"/>
      <c r="AA42" s="8"/>
      <c r="AE42" s="8"/>
      <c r="AF42" s="8"/>
      <c r="AG42" s="8"/>
      <c r="AH42" s="8"/>
      <c r="AL42" s="8"/>
      <c r="AM42" s="8"/>
      <c r="AN42" s="8"/>
      <c r="AO42" s="8"/>
    </row>
    <row r="43" spans="1:49" x14ac:dyDescent="0.3">
      <c r="B43" s="7"/>
      <c r="C43" s="8"/>
      <c r="D43" s="8"/>
      <c r="E43" s="8"/>
      <c r="F43" s="8"/>
      <c r="H43" s="8"/>
      <c r="I43" s="8"/>
      <c r="J43" s="8"/>
      <c r="K43" s="8"/>
      <c r="L43" s="8"/>
      <c r="M43" s="8">
        <f>M41+T41+AA41+AH41+AO41</f>
        <v>0</v>
      </c>
      <c r="N43" s="5"/>
      <c r="Q43" s="8"/>
      <c r="R43" s="8"/>
      <c r="S43" s="8"/>
      <c r="T43" s="8"/>
      <c r="U43" s="5"/>
      <c r="X43" s="8"/>
      <c r="Y43" s="8"/>
      <c r="Z43" s="8"/>
      <c r="AA43" s="8"/>
      <c r="AB43" s="5"/>
      <c r="AE43" s="8"/>
      <c r="AF43" s="8"/>
      <c r="AG43" s="8"/>
      <c r="AH43" s="8"/>
      <c r="AI43" s="5"/>
      <c r="AL43" s="8"/>
      <c r="AM43" s="8"/>
      <c r="AN43" s="8"/>
      <c r="AO43" s="8"/>
      <c r="AP43" s="5"/>
    </row>
  </sheetData>
  <mergeCells count="7">
    <mergeCell ref="AL2:AQ2"/>
    <mergeCell ref="AS2:AW2"/>
    <mergeCell ref="B2:H2"/>
    <mergeCell ref="J2:O2"/>
    <mergeCell ref="Q2:V2"/>
    <mergeCell ref="X2:AC2"/>
    <mergeCell ref="AE2:A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EA5A-5099-4245-A790-4D98A938814E}">
  <sheetPr codeName="Sheet8"/>
  <dimension ref="A1:T68"/>
  <sheetViews>
    <sheetView zoomScale="115" zoomScaleNormal="115" workbookViewId="0">
      <selection activeCell="J52" sqref="J52:N54"/>
    </sheetView>
  </sheetViews>
  <sheetFormatPr defaultColWidth="8.88671875" defaultRowHeight="14.4" x14ac:dyDescent="0.3"/>
  <cols>
    <col min="1" max="1" width="12.6640625" style="21" customWidth="1"/>
    <col min="2" max="2" width="16.44140625" style="21" customWidth="1"/>
    <col min="3" max="3" width="31.6640625" style="2" bestFit="1" customWidth="1"/>
    <col min="4" max="4" width="15.44140625" style="2" customWidth="1"/>
    <col min="5" max="5" width="17.109375" style="2" customWidth="1"/>
    <col min="6" max="6" width="4" style="2" customWidth="1"/>
    <col min="7" max="7" width="15.6640625" style="2" customWidth="1"/>
    <col min="8" max="8" width="17.109375" style="2" customWidth="1"/>
    <col min="9" max="9" width="5.21875" style="2" customWidth="1"/>
    <col min="10" max="10" width="15.6640625" style="2" customWidth="1"/>
    <col min="11" max="11" width="13.33203125" style="2" customWidth="1"/>
    <col min="12" max="12" width="14.88671875" style="2" customWidth="1"/>
    <col min="13" max="13" width="16.109375" style="2" customWidth="1"/>
    <col min="14" max="14" width="14" style="2" customWidth="1"/>
    <col min="15" max="15" width="6" style="2" customWidth="1"/>
    <col min="16" max="16" width="18.6640625" style="2" customWidth="1"/>
    <col min="17" max="17" width="11.21875" style="2" customWidth="1"/>
    <col min="18" max="18" width="12.44140625" style="2" customWidth="1"/>
    <col min="19" max="19" width="17.109375" style="2" customWidth="1"/>
    <col min="20" max="20" width="18.109375" style="2" customWidth="1"/>
    <col min="21" max="21" width="13.6640625" style="2" customWidth="1"/>
    <col min="22" max="22" width="20.44140625" style="2" customWidth="1"/>
    <col min="23" max="23" width="20.21875" style="2" customWidth="1"/>
    <col min="24" max="16384" width="8.88671875" style="2"/>
  </cols>
  <sheetData>
    <row r="1" spans="1:7" x14ac:dyDescent="0.3">
      <c r="B1" s="143" t="s">
        <v>79</v>
      </c>
    </row>
    <row r="3" spans="1:7" ht="15" thickBot="1" x14ac:dyDescent="0.35">
      <c r="C3" s="66"/>
      <c r="D3" s="223" t="s">
        <v>68</v>
      </c>
      <c r="E3" s="223"/>
    </row>
    <row r="4" spans="1:7" ht="28.8" x14ac:dyDescent="0.3">
      <c r="A4" s="224" t="s">
        <v>111</v>
      </c>
      <c r="C4" s="64"/>
      <c r="D4" s="12" t="s">
        <v>62</v>
      </c>
      <c r="E4" s="16" t="s">
        <v>67</v>
      </c>
    </row>
    <row r="5" spans="1:7" x14ac:dyDescent="0.3">
      <c r="A5" s="224"/>
      <c r="C5" s="23" t="str">
        <f>'Initial Fee Calculation'!B6</f>
        <v>NSPI</v>
      </c>
      <c r="D5" s="142">
        <f>'Fee Recovery Calculation'!I4</f>
        <v>10365999.73384355</v>
      </c>
      <c r="E5" s="34">
        <f>D5/4</f>
        <v>2591499.9334608875</v>
      </c>
    </row>
    <row r="6" spans="1:7" x14ac:dyDescent="0.3">
      <c r="A6" s="224"/>
      <c r="B6" s="225" t="s">
        <v>64</v>
      </c>
      <c r="C6" s="23" t="str">
        <f>'Initial Fee Calculation'!B7</f>
        <v>Berwick Electric Commission</v>
      </c>
      <c r="D6" s="142">
        <f>'Fee Recovery Calculation'!I5</f>
        <v>75138.622640298971</v>
      </c>
      <c r="E6" s="34">
        <f t="shared" ref="E6:E9" si="0">D6/4</f>
        <v>18784.655660074743</v>
      </c>
    </row>
    <row r="7" spans="1:7" x14ac:dyDescent="0.3">
      <c r="A7" s="224"/>
      <c r="B7" s="225"/>
      <c r="C7" s="23" t="str">
        <f>'Initial Fee Calculation'!B8</f>
        <v>Riverport Electric Light Commission</v>
      </c>
      <c r="D7" s="142">
        <f>'Fee Recovery Calculation'!I6</f>
        <v>17930.032766529202</v>
      </c>
      <c r="E7" s="34">
        <f t="shared" si="0"/>
        <v>4482.5081916323006</v>
      </c>
    </row>
    <row r="8" spans="1:7" x14ac:dyDescent="0.3">
      <c r="A8" s="224"/>
      <c r="B8" s="225"/>
      <c r="C8" s="23" t="str">
        <f>'Initial Fee Calculation'!B9</f>
        <v>Town of Mahone Bay</v>
      </c>
      <c r="D8" s="142">
        <f>'Fee Recovery Calculation'!I7</f>
        <v>27529.252742769393</v>
      </c>
      <c r="E8" s="34">
        <f t="shared" si="0"/>
        <v>6882.3131856923483</v>
      </c>
    </row>
    <row r="9" spans="1:7" x14ac:dyDescent="0.3">
      <c r="A9" s="224"/>
      <c r="B9" s="21" t="s">
        <v>63</v>
      </c>
      <c r="C9" s="23" t="str">
        <f>'Initial Fee Calculation'!B10</f>
        <v>Town of Antigonish</v>
      </c>
      <c r="D9" s="142">
        <f>'Fee Recovery Calculation'!I8</f>
        <v>170347.35800685169</v>
      </c>
      <c r="E9" s="34">
        <f t="shared" si="0"/>
        <v>42586.839501712922</v>
      </c>
    </row>
    <row r="10" spans="1:7" ht="14.4" hidden="1" customHeight="1" x14ac:dyDescent="0.3">
      <c r="A10" s="224"/>
      <c r="C10" s="23" t="str">
        <f>'Initial Fee Calculation'!B11</f>
        <v>Other</v>
      </c>
      <c r="D10" s="142">
        <f>'Fee Recovery Calculation'!I9</f>
        <v>0</v>
      </c>
      <c r="E10" s="34">
        <f t="shared" ref="E10:E13" si="1">D10/12</f>
        <v>0</v>
      </c>
    </row>
    <row r="11" spans="1:7" ht="14.4" hidden="1" customHeight="1" x14ac:dyDescent="0.3">
      <c r="A11" s="224"/>
      <c r="C11" s="23" t="str">
        <f>'Initial Fee Calculation'!B12</f>
        <v>Other</v>
      </c>
      <c r="D11" s="142">
        <f>'Fee Recovery Calculation'!I10</f>
        <v>0</v>
      </c>
      <c r="E11" s="34">
        <f t="shared" si="1"/>
        <v>0</v>
      </c>
    </row>
    <row r="12" spans="1:7" ht="14.4" hidden="1" customHeight="1" x14ac:dyDescent="0.3">
      <c r="A12" s="224"/>
      <c r="C12" s="23" t="str">
        <f>'Initial Fee Calculation'!B13</f>
        <v>Other</v>
      </c>
      <c r="D12" s="142">
        <f>'Fee Recovery Calculation'!I11</f>
        <v>0</v>
      </c>
      <c r="E12" s="34">
        <f t="shared" si="1"/>
        <v>0</v>
      </c>
    </row>
    <row r="13" spans="1:7" ht="14.4" hidden="1" customHeight="1" x14ac:dyDescent="0.3">
      <c r="A13" s="224"/>
      <c r="C13" s="23" t="str">
        <f>'Initial Fee Calculation'!B14</f>
        <v>Other</v>
      </c>
      <c r="D13" s="142">
        <f>'Fee Recovery Calculation'!I12</f>
        <v>0</v>
      </c>
      <c r="E13" s="34">
        <f t="shared" si="1"/>
        <v>0</v>
      </c>
    </row>
    <row r="14" spans="1:7" ht="8.4" customHeight="1" x14ac:dyDescent="0.3">
      <c r="A14" s="224"/>
      <c r="C14" s="23"/>
      <c r="D14" s="23"/>
      <c r="E14" s="29"/>
    </row>
    <row r="15" spans="1:7" ht="15" thickBot="1" x14ac:dyDescent="0.35">
      <c r="A15" s="224"/>
      <c r="C15" s="65" t="str">
        <f>'Initial Fee Calculation'!B16</f>
        <v>Total</v>
      </c>
      <c r="D15" s="41">
        <f>SUM(D5:D14)</f>
        <v>10656944.999999998</v>
      </c>
      <c r="E15" s="36">
        <f>SUM(E5:E13)</f>
        <v>2664236.2499999995</v>
      </c>
    </row>
    <row r="16" spans="1:7" s="26" customFormat="1" ht="15" thickBot="1" x14ac:dyDescent="0.35">
      <c r="A16" s="130"/>
      <c r="B16" s="130"/>
      <c r="C16" s="130"/>
      <c r="D16" s="130"/>
      <c r="E16" s="130"/>
      <c r="F16" s="130"/>
      <c r="G16" s="130"/>
    </row>
    <row r="17" spans="1:17" ht="15" customHeight="1" x14ac:dyDescent="0.3">
      <c r="C17" s="66"/>
      <c r="D17" s="134"/>
      <c r="E17" s="134"/>
      <c r="O17" s="159"/>
      <c r="P17" s="159"/>
      <c r="Q17" s="159"/>
    </row>
    <row r="18" spans="1:17" ht="15" customHeight="1" thickBot="1" x14ac:dyDescent="0.35">
      <c r="D18" s="223" t="s">
        <v>114</v>
      </c>
      <c r="E18" s="223"/>
      <c r="G18" s="223" t="s">
        <v>77</v>
      </c>
      <c r="H18" s="223"/>
      <c r="J18" s="226" t="s">
        <v>96</v>
      </c>
      <c r="K18" s="226"/>
      <c r="L18" s="226"/>
      <c r="M18" s="226"/>
    </row>
    <row r="19" spans="1:17" ht="43.2" x14ac:dyDescent="0.3">
      <c r="A19" s="224" t="s">
        <v>112</v>
      </c>
      <c r="C19" s="64"/>
      <c r="D19" s="14" t="s">
        <v>148</v>
      </c>
      <c r="E19" s="16" t="s">
        <v>65</v>
      </c>
      <c r="G19" s="12" t="s">
        <v>136</v>
      </c>
      <c r="H19" s="16" t="s">
        <v>77</v>
      </c>
      <c r="J19" s="12" t="str">
        <f t="shared" ref="J19:J28" si="2">E19</f>
        <v xml:space="preserve">Initial 2027/28 Annual Fee </v>
      </c>
      <c r="K19" s="13" t="str">
        <f t="shared" ref="K19:K28" si="3">H19</f>
        <v>2025/26 True-Up</v>
      </c>
      <c r="L19" s="14" t="s">
        <v>72</v>
      </c>
      <c r="M19" s="16" t="s">
        <v>97</v>
      </c>
    </row>
    <row r="20" spans="1:17" x14ac:dyDescent="0.3">
      <c r="A20" s="224"/>
      <c r="B20" s="21" t="s">
        <v>59</v>
      </c>
      <c r="C20" s="23" t="str">
        <f t="shared" ref="C20:C28" si="4">C5</f>
        <v>NSPI</v>
      </c>
      <c r="D20" s="132">
        <f>Input!E12/Input!$E$22</f>
        <v>0.98545129270423104</v>
      </c>
      <c r="E20" s="34">
        <f>D20*$E$30</f>
        <v>15274495.036915582</v>
      </c>
      <c r="G20" s="138">
        <f>'Fee Recovery Calculation'!C4</f>
        <v>0.985673835420112</v>
      </c>
      <c r="H20" s="34">
        <f>G20*$H$30</f>
        <v>-309344.86218208337</v>
      </c>
      <c r="J20" s="142">
        <f t="shared" si="2"/>
        <v>15274495.036915582</v>
      </c>
      <c r="K20" s="37">
        <f t="shared" si="3"/>
        <v>-309344.86218208337</v>
      </c>
      <c r="L20" s="140">
        <f>J20+K20</f>
        <v>14965150.174733499</v>
      </c>
      <c r="M20" s="34">
        <f>L20/12</f>
        <v>1247095.8478944583</v>
      </c>
    </row>
    <row r="21" spans="1:17" x14ac:dyDescent="0.3">
      <c r="A21" s="224"/>
      <c r="B21" s="225" t="s">
        <v>36</v>
      </c>
      <c r="C21" s="23" t="str">
        <f t="shared" si="4"/>
        <v>Berwick Electric Commission</v>
      </c>
      <c r="D21" s="132">
        <f>Input!E13/Input!$E$22</f>
        <v>3.7573040518662981E-3</v>
      </c>
      <c r="E21" s="34">
        <f>D21*$E$30</f>
        <v>58238.212803927621</v>
      </c>
      <c r="G21" s="138">
        <f>'Fee Recovery Calculation'!C5</f>
        <v>3.6998308598435278E-3</v>
      </c>
      <c r="H21" s="34">
        <f t="shared" ref="H21:H28" si="5">G21*$H$30</f>
        <v>-1161.1586168841527</v>
      </c>
      <c r="J21" s="142">
        <f t="shared" si="2"/>
        <v>58238.212803927621</v>
      </c>
      <c r="K21" s="37">
        <f t="shared" si="3"/>
        <v>-1161.1586168841527</v>
      </c>
      <c r="L21" s="140">
        <f t="shared" ref="L21:L28" si="6">J21+K21</f>
        <v>57077.054187043468</v>
      </c>
      <c r="M21" s="34">
        <f t="shared" ref="M21:M28" si="7">L21/12</f>
        <v>4756.4211822536226</v>
      </c>
    </row>
    <row r="22" spans="1:17" x14ac:dyDescent="0.3">
      <c r="A22" s="224"/>
      <c r="B22" s="225"/>
      <c r="C22" s="23" t="str">
        <f t="shared" si="4"/>
        <v>Riverport Electric Light Commission</v>
      </c>
      <c r="D22" s="132">
        <f>Input!E14/Input!$E$22</f>
        <v>8.9659062671776986E-4</v>
      </c>
      <c r="E22" s="34">
        <f t="shared" ref="E22:E28" si="8">D22*$E$30</f>
        <v>13897.154714125432</v>
      </c>
      <c r="G22" s="138">
        <f>'Fee Recovery Calculation'!C6</f>
        <v>8.8287602589126211E-4</v>
      </c>
      <c r="H22" s="34">
        <f t="shared" si="5"/>
        <v>-277.08269484173957</v>
      </c>
      <c r="J22" s="142">
        <f t="shared" si="2"/>
        <v>13897.154714125432</v>
      </c>
      <c r="K22" s="37">
        <f t="shared" si="3"/>
        <v>-277.08269484173957</v>
      </c>
      <c r="L22" s="140">
        <f t="shared" si="6"/>
        <v>13620.072019283692</v>
      </c>
      <c r="M22" s="34">
        <f t="shared" si="7"/>
        <v>1135.0060016069745</v>
      </c>
    </row>
    <row r="23" spans="1:17" x14ac:dyDescent="0.3">
      <c r="A23" s="224"/>
      <c r="B23" s="225"/>
      <c r="C23" s="23" t="str">
        <f t="shared" si="4"/>
        <v>Town of Mahone Bay</v>
      </c>
      <c r="D23" s="132">
        <f>Input!E15/Input!$E$22</f>
        <v>1.3765992673358282E-3</v>
      </c>
      <c r="E23" s="34">
        <f t="shared" si="8"/>
        <v>21337.288643705338</v>
      </c>
      <c r="G23" s="138">
        <f>'Fee Recovery Calculation'!C7</f>
        <v>1.3555422666412216E-3</v>
      </c>
      <c r="H23" s="34">
        <f t="shared" si="5"/>
        <v>-425.42474050494764</v>
      </c>
      <c r="J23" s="142">
        <f t="shared" si="2"/>
        <v>21337.288643705338</v>
      </c>
      <c r="K23" s="37">
        <f t="shared" si="3"/>
        <v>-425.42474050494764</v>
      </c>
      <c r="L23" s="140">
        <f t="shared" si="6"/>
        <v>20911.863903200392</v>
      </c>
      <c r="M23" s="34">
        <f t="shared" si="7"/>
        <v>1742.6553252666993</v>
      </c>
    </row>
    <row r="24" spans="1:17" x14ac:dyDescent="0.3">
      <c r="A24" s="224"/>
      <c r="B24" s="21" t="s">
        <v>57</v>
      </c>
      <c r="C24" s="23" t="str">
        <f t="shared" si="4"/>
        <v>Town of Antigonish</v>
      </c>
      <c r="D24" s="132">
        <f>Input!E16/Input!$E$22</f>
        <v>8.5182133498490249E-3</v>
      </c>
      <c r="E24" s="34">
        <f t="shared" si="8"/>
        <v>132032.30692265989</v>
      </c>
      <c r="G24" s="138">
        <f>'Fee Recovery Calculation'!C8</f>
        <v>8.3879154275119643E-3</v>
      </c>
      <c r="H24" s="34">
        <f t="shared" si="5"/>
        <v>-2632.4717656857824</v>
      </c>
      <c r="J24" s="142">
        <f t="shared" si="2"/>
        <v>132032.30692265989</v>
      </c>
      <c r="K24" s="37">
        <f t="shared" si="3"/>
        <v>-2632.4717656857824</v>
      </c>
      <c r="L24" s="140">
        <f t="shared" si="6"/>
        <v>129399.83515697411</v>
      </c>
      <c r="M24" s="34">
        <f t="shared" si="7"/>
        <v>10783.319596414509</v>
      </c>
    </row>
    <row r="25" spans="1:17" ht="14.4" hidden="1" customHeight="1" x14ac:dyDescent="0.3">
      <c r="A25" s="224"/>
      <c r="B25" s="136"/>
      <c r="C25" s="23" t="str">
        <f t="shared" si="4"/>
        <v>Other</v>
      </c>
      <c r="D25" s="132">
        <f>Input!E17/Input!$E$22</f>
        <v>0</v>
      </c>
      <c r="E25" s="34">
        <f t="shared" si="8"/>
        <v>0</v>
      </c>
      <c r="G25" s="138">
        <f>'Fee Recovery Calculation'!C9</f>
        <v>0</v>
      </c>
      <c r="H25" s="34">
        <f t="shared" si="5"/>
        <v>0</v>
      </c>
      <c r="J25" s="142">
        <f t="shared" si="2"/>
        <v>0</v>
      </c>
      <c r="K25" s="37">
        <f t="shared" si="3"/>
        <v>0</v>
      </c>
      <c r="L25" s="140">
        <f t="shared" si="6"/>
        <v>0</v>
      </c>
      <c r="M25" s="34">
        <f t="shared" si="7"/>
        <v>0</v>
      </c>
    </row>
    <row r="26" spans="1:17" ht="14.4" hidden="1" customHeight="1" x14ac:dyDescent="0.3">
      <c r="A26" s="224"/>
      <c r="C26" s="23" t="str">
        <f t="shared" si="4"/>
        <v>Other</v>
      </c>
      <c r="D26" s="132">
        <f>Input!E18/Input!$E$22</f>
        <v>0</v>
      </c>
      <c r="E26" s="34">
        <f t="shared" si="8"/>
        <v>0</v>
      </c>
      <c r="G26" s="138">
        <f>'Fee Recovery Calculation'!C10</f>
        <v>0</v>
      </c>
      <c r="H26" s="34">
        <f t="shared" si="5"/>
        <v>0</v>
      </c>
      <c r="J26" s="142">
        <f t="shared" si="2"/>
        <v>0</v>
      </c>
      <c r="K26" s="37">
        <f t="shared" si="3"/>
        <v>0</v>
      </c>
      <c r="L26" s="140">
        <f t="shared" si="6"/>
        <v>0</v>
      </c>
      <c r="M26" s="34">
        <f t="shared" si="7"/>
        <v>0</v>
      </c>
    </row>
    <row r="27" spans="1:17" ht="14.4" hidden="1" customHeight="1" x14ac:dyDescent="0.3">
      <c r="A27" s="224"/>
      <c r="C27" s="23" t="str">
        <f t="shared" si="4"/>
        <v>Other</v>
      </c>
      <c r="D27" s="132">
        <f>Input!E19/Input!$E$22</f>
        <v>0</v>
      </c>
      <c r="E27" s="34">
        <f t="shared" si="8"/>
        <v>0</v>
      </c>
      <c r="G27" s="138">
        <f>'Fee Recovery Calculation'!C11</f>
        <v>0</v>
      </c>
      <c r="H27" s="34">
        <f t="shared" si="5"/>
        <v>0</v>
      </c>
      <c r="J27" s="142">
        <f t="shared" si="2"/>
        <v>0</v>
      </c>
      <c r="K27" s="37">
        <f t="shared" si="3"/>
        <v>0</v>
      </c>
      <c r="L27" s="140">
        <f t="shared" si="6"/>
        <v>0</v>
      </c>
      <c r="M27" s="34">
        <f t="shared" si="7"/>
        <v>0</v>
      </c>
    </row>
    <row r="28" spans="1:17" ht="14.4" hidden="1" customHeight="1" x14ac:dyDescent="0.3">
      <c r="A28" s="224"/>
      <c r="C28" s="23" t="str">
        <f t="shared" si="4"/>
        <v>Other</v>
      </c>
      <c r="D28" s="132">
        <f>Input!E20/Input!$E$22</f>
        <v>0</v>
      </c>
      <c r="E28" s="34">
        <f t="shared" si="8"/>
        <v>0</v>
      </c>
      <c r="G28" s="138">
        <f>'Fee Recovery Calculation'!C12</f>
        <v>0</v>
      </c>
      <c r="H28" s="34">
        <f t="shared" si="5"/>
        <v>0</v>
      </c>
      <c r="J28" s="142">
        <f t="shared" si="2"/>
        <v>0</v>
      </c>
      <c r="K28" s="37">
        <f t="shared" si="3"/>
        <v>0</v>
      </c>
      <c r="L28" s="140">
        <f t="shared" si="6"/>
        <v>0</v>
      </c>
      <c r="M28" s="34">
        <f t="shared" si="7"/>
        <v>0</v>
      </c>
    </row>
    <row r="29" spans="1:17" ht="8.4" customHeight="1" x14ac:dyDescent="0.3">
      <c r="A29" s="224"/>
      <c r="C29" s="23"/>
      <c r="D29" s="3"/>
      <c r="E29" s="29"/>
      <c r="G29" s="138"/>
      <c r="H29" s="34"/>
      <c r="J29" s="142"/>
      <c r="K29" s="6"/>
      <c r="L29" s="140"/>
      <c r="M29" s="34"/>
    </row>
    <row r="30" spans="1:17" ht="15" thickBot="1" x14ac:dyDescent="0.35">
      <c r="A30" s="224"/>
      <c r="C30" s="65" t="str">
        <f>C15</f>
        <v>Total</v>
      </c>
      <c r="D30" s="71">
        <f>'Initial Fee Calculation'!D16</f>
        <v>0.99999999999999989</v>
      </c>
      <c r="E30" s="144">
        <v>15500000</v>
      </c>
      <c r="G30" s="158">
        <f>SUM(G20:G29)</f>
        <v>0.99999999999999989</v>
      </c>
      <c r="H30" s="36">
        <f>E34</f>
        <v>-313841</v>
      </c>
      <c r="J30" s="41">
        <f>SUM(J20:J29)</f>
        <v>15500000</v>
      </c>
      <c r="K30" s="70">
        <f>SUM(K20:K28)</f>
        <v>-313840.99999999994</v>
      </c>
      <c r="L30" s="51">
        <f>SUM(L20:L28)</f>
        <v>15186159</v>
      </c>
      <c r="M30" s="27">
        <f>SUM(M20:M28)</f>
        <v>1265513.2500000002</v>
      </c>
    </row>
    <row r="31" spans="1:17" ht="15" thickBot="1" x14ac:dyDescent="0.35">
      <c r="A31" s="78"/>
      <c r="D31" s="77"/>
      <c r="E31" s="77"/>
      <c r="J31" s="171"/>
    </row>
    <row r="32" spans="1:17" ht="14.4" customHeight="1" x14ac:dyDescent="0.3">
      <c r="A32" s="78"/>
      <c r="C32" s="168"/>
      <c r="D32" s="169" t="s">
        <v>101</v>
      </c>
      <c r="E32" s="175">
        <f>Input!C4</f>
        <v>5306824</v>
      </c>
      <c r="G32" s="227" t="s">
        <v>139</v>
      </c>
      <c r="H32" s="227"/>
      <c r="I32" s="171"/>
      <c r="J32" s="222" t="s">
        <v>145</v>
      </c>
      <c r="K32" s="222"/>
    </row>
    <row r="33" spans="1:20" ht="14.4" customHeight="1" x14ac:dyDescent="0.3">
      <c r="A33" s="78"/>
      <c r="C33" s="23"/>
      <c r="D33" s="170" t="s">
        <v>102</v>
      </c>
      <c r="E33" s="39">
        <f>Input!C5</f>
        <v>4992983</v>
      </c>
      <c r="G33" s="227"/>
      <c r="H33" s="227"/>
      <c r="I33" s="171"/>
      <c r="J33" s="222"/>
      <c r="K33" s="222"/>
    </row>
    <row r="34" spans="1:20" ht="14.4" customHeight="1" thickBot="1" x14ac:dyDescent="0.35">
      <c r="A34" s="78"/>
      <c r="C34" s="24"/>
      <c r="D34" s="172" t="s">
        <v>103</v>
      </c>
      <c r="E34" s="36">
        <f>E33-E32</f>
        <v>-313841</v>
      </c>
      <c r="G34" s="227"/>
      <c r="H34" s="227"/>
      <c r="I34" s="171"/>
      <c r="J34" s="222"/>
      <c r="K34" s="222"/>
    </row>
    <row r="35" spans="1:20" x14ac:dyDescent="0.3">
      <c r="A35" s="78"/>
      <c r="D35" s="77"/>
      <c r="E35" s="77"/>
      <c r="G35" s="227"/>
      <c r="H35" s="227"/>
      <c r="I35" s="171"/>
      <c r="J35" s="222"/>
      <c r="K35" s="222"/>
    </row>
    <row r="36" spans="1:20" s="26" customFormat="1" ht="15" thickBot="1" x14ac:dyDescent="0.35">
      <c r="A36" s="130"/>
      <c r="B36" s="130"/>
      <c r="F36" s="135"/>
      <c r="G36" s="135"/>
      <c r="H36" s="135"/>
      <c r="J36" s="135"/>
      <c r="K36" s="135"/>
      <c r="L36" s="135"/>
      <c r="M36" s="135"/>
      <c r="N36" s="135"/>
    </row>
    <row r="37" spans="1:20" ht="14.4" customHeight="1" x14ac:dyDescent="0.3">
      <c r="F37" s="77"/>
      <c r="G37" s="77"/>
      <c r="N37" s="157"/>
      <c r="O37" s="157"/>
      <c r="P37" s="157"/>
      <c r="Q37" s="157"/>
    </row>
    <row r="38" spans="1:20" ht="15" customHeight="1" thickBot="1" x14ac:dyDescent="0.35">
      <c r="A38" s="224" t="s">
        <v>55</v>
      </c>
      <c r="D38" s="223" t="s">
        <v>115</v>
      </c>
      <c r="E38" s="223"/>
      <c r="G38" s="223" t="s">
        <v>71</v>
      </c>
      <c r="H38" s="223"/>
      <c r="J38" s="223" t="s">
        <v>94</v>
      </c>
      <c r="K38" s="223"/>
      <c r="L38" s="223"/>
      <c r="M38" s="223"/>
      <c r="N38" s="223"/>
      <c r="P38" s="226" t="s">
        <v>93</v>
      </c>
      <c r="Q38" s="226"/>
      <c r="R38" s="226"/>
      <c r="S38" s="226"/>
      <c r="T38" s="226"/>
    </row>
    <row r="39" spans="1:20" s="1" customFormat="1" ht="58.8" customHeight="1" x14ac:dyDescent="0.3">
      <c r="A39" s="224"/>
      <c r="B39" s="21"/>
      <c r="C39" s="64"/>
      <c r="D39" s="14" t="s">
        <v>149</v>
      </c>
      <c r="E39" s="16" t="s">
        <v>66</v>
      </c>
      <c r="F39" s="2"/>
      <c r="G39" s="12" t="s">
        <v>137</v>
      </c>
      <c r="H39" s="16" t="s">
        <v>71</v>
      </c>
      <c r="J39" s="12" t="s">
        <v>150</v>
      </c>
      <c r="K39" s="13" t="s">
        <v>108</v>
      </c>
      <c r="L39" s="14" t="str">
        <f t="shared" ref="L39:L44" si="9">G39</f>
        <v>2026/27 Actual %</v>
      </c>
      <c r="M39" s="13" t="s">
        <v>104</v>
      </c>
      <c r="N39" s="16" t="s">
        <v>83</v>
      </c>
      <c r="O39" s="2"/>
      <c r="P39" s="12" t="str">
        <f t="shared" ref="P39:P48" si="10">E39</f>
        <v xml:space="preserve">Initial 2028/29 Annual Fee </v>
      </c>
      <c r="Q39" s="15" t="str">
        <f t="shared" ref="Q39:Q48" si="11">H39</f>
        <v>2026/27 True-Up</v>
      </c>
      <c r="R39" s="15" t="s">
        <v>83</v>
      </c>
      <c r="S39" s="14" t="s">
        <v>91</v>
      </c>
      <c r="T39" s="16" t="s">
        <v>92</v>
      </c>
    </row>
    <row r="40" spans="1:20" x14ac:dyDescent="0.3">
      <c r="A40" s="224"/>
      <c r="B40" s="21" t="s">
        <v>61</v>
      </c>
      <c r="C40" s="23" t="str">
        <f>C20</f>
        <v>NSPI</v>
      </c>
      <c r="D40" s="80">
        <v>0.98580000000000001</v>
      </c>
      <c r="E40" s="34">
        <f>D40*$E$50</f>
        <v>15526350</v>
      </c>
      <c r="G40" s="167">
        <v>0.98560000000000003</v>
      </c>
      <c r="H40" s="34">
        <f t="shared" ref="H40:H48" si="12">G40*$H$50</f>
        <v>-98679.257599999997</v>
      </c>
      <c r="J40" s="165">
        <f>'Initial Fee Calculation'!G6</f>
        <v>0.98552746929564072</v>
      </c>
      <c r="K40" s="37">
        <f>'Initial Fee Calculation'!H6</f>
        <v>14635202.167864049</v>
      </c>
      <c r="L40" s="185">
        <f t="shared" si="9"/>
        <v>0.98560000000000003</v>
      </c>
      <c r="M40" s="37">
        <f t="shared" ref="M40:M48" si="13">L40*$M$50</f>
        <v>14636279.2576</v>
      </c>
      <c r="N40" s="34">
        <f t="shared" ref="N40:N48" si="14">M40-K40</f>
        <v>1077.0897359512746</v>
      </c>
      <c r="P40" s="142">
        <f t="shared" si="10"/>
        <v>15526350</v>
      </c>
      <c r="Q40" s="162">
        <f t="shared" si="11"/>
        <v>-98679.257599999997</v>
      </c>
      <c r="R40" s="162">
        <f>N40</f>
        <v>1077.0897359512746</v>
      </c>
      <c r="S40" s="140">
        <f>P40+Q40+R40</f>
        <v>15428747.832135951</v>
      </c>
      <c r="T40" s="34">
        <f t="shared" ref="T40:T48" si="15">S40/12</f>
        <v>1285728.9860113293</v>
      </c>
    </row>
    <row r="41" spans="1:20" ht="14.4" customHeight="1" x14ac:dyDescent="0.3">
      <c r="A41" s="224"/>
      <c r="B41" s="225" t="s">
        <v>36</v>
      </c>
      <c r="C41" s="23" t="str">
        <f t="shared" ref="C41:C48" si="16">C21</f>
        <v>Berwick Electric Commission</v>
      </c>
      <c r="D41" s="80">
        <v>3.3E-3</v>
      </c>
      <c r="E41" s="34">
        <f>D41*$E$50</f>
        <v>51975</v>
      </c>
      <c r="G41" s="167">
        <v>3.3E-3</v>
      </c>
      <c r="H41" s="34">
        <f t="shared" si="12"/>
        <v>-330.39929999999998</v>
      </c>
      <c r="J41" s="165">
        <f>'Initial Fee Calculation'!G7</f>
        <v>3.7376309214814272E-3</v>
      </c>
      <c r="K41" s="37">
        <f>'Initial Fee Calculation'!H7</f>
        <v>55504.271437340693</v>
      </c>
      <c r="L41" s="185">
        <f t="shared" si="9"/>
        <v>3.3E-3</v>
      </c>
      <c r="M41" s="37">
        <f t="shared" si="13"/>
        <v>49005.399299999997</v>
      </c>
      <c r="N41" s="34">
        <f t="shared" si="14"/>
        <v>-6498.8721373406952</v>
      </c>
      <c r="P41" s="142">
        <f t="shared" si="10"/>
        <v>51975</v>
      </c>
      <c r="Q41" s="162">
        <f t="shared" si="11"/>
        <v>-330.39929999999998</v>
      </c>
      <c r="R41" s="162">
        <f t="shared" ref="R41:R44" si="17">N41</f>
        <v>-6498.8721373406952</v>
      </c>
      <c r="S41" s="140">
        <f t="shared" ref="S41:S48" si="18">P41+Q41+R41</f>
        <v>45145.728562659307</v>
      </c>
      <c r="T41" s="34">
        <f t="shared" si="15"/>
        <v>3762.1440468882756</v>
      </c>
    </row>
    <row r="42" spans="1:20" x14ac:dyDescent="0.3">
      <c r="A42" s="224"/>
      <c r="B42" s="225"/>
      <c r="C42" s="23" t="str">
        <f t="shared" si="16"/>
        <v>Riverport Electric Light Commission</v>
      </c>
      <c r="D42" s="80">
        <v>8.0000000000000004E-4</v>
      </c>
      <c r="E42" s="34">
        <f>D42*$E$50</f>
        <v>12600</v>
      </c>
      <c r="G42" s="167">
        <v>1E-3</v>
      </c>
      <c r="H42" s="34">
        <f t="shared" si="12"/>
        <v>-100.121</v>
      </c>
      <c r="J42" s="165">
        <f>'Initial Fee Calculation'!G8</f>
        <v>8.9189610531152099E-4</v>
      </c>
      <c r="K42" s="37">
        <f>'Initial Fee Calculation'!H8</f>
        <v>13244.76508330483</v>
      </c>
      <c r="L42" s="185">
        <f t="shared" si="9"/>
        <v>1E-3</v>
      </c>
      <c r="M42" s="37">
        <f t="shared" si="13"/>
        <v>14850.121000000001</v>
      </c>
      <c r="N42" s="34">
        <f t="shared" si="14"/>
        <v>1605.3559166951709</v>
      </c>
      <c r="P42" s="142">
        <f t="shared" si="10"/>
        <v>12600</v>
      </c>
      <c r="Q42" s="162">
        <f t="shared" si="11"/>
        <v>-100.121</v>
      </c>
      <c r="R42" s="162">
        <f t="shared" si="17"/>
        <v>1605.3559166951709</v>
      </c>
      <c r="S42" s="140">
        <f t="shared" si="18"/>
        <v>14105.234916695172</v>
      </c>
      <c r="T42" s="34">
        <f t="shared" si="15"/>
        <v>1175.4362430579311</v>
      </c>
    </row>
    <row r="43" spans="1:20" ht="14.4" customHeight="1" x14ac:dyDescent="0.3">
      <c r="A43" s="224"/>
      <c r="B43" s="225"/>
      <c r="C43" s="23" t="str">
        <f t="shared" si="16"/>
        <v>Town of Mahone Bay</v>
      </c>
      <c r="D43" s="80">
        <v>1.4E-3</v>
      </c>
      <c r="E43" s="34">
        <f>D43*$E$50</f>
        <v>22050</v>
      </c>
      <c r="G43" s="167">
        <v>1.4E-3</v>
      </c>
      <c r="H43" s="34">
        <f t="shared" si="12"/>
        <v>-140.1694</v>
      </c>
      <c r="J43" s="165">
        <f>'Initial Fee Calculation'!G9</f>
        <v>1.3693914352040199E-3</v>
      </c>
      <c r="K43" s="37">
        <f>'Initial Fee Calculation'!H9</f>
        <v>20335.628509143356</v>
      </c>
      <c r="L43" s="185">
        <f t="shared" si="9"/>
        <v>1.4E-3</v>
      </c>
      <c r="M43" s="37">
        <f t="shared" si="13"/>
        <v>20790.169399999999</v>
      </c>
      <c r="N43" s="34">
        <f t="shared" si="14"/>
        <v>454.54089085664236</v>
      </c>
      <c r="P43" s="142">
        <f t="shared" si="10"/>
        <v>22050</v>
      </c>
      <c r="Q43" s="162">
        <f t="shared" si="11"/>
        <v>-140.1694</v>
      </c>
      <c r="R43" s="162">
        <f t="shared" si="17"/>
        <v>454.54089085664236</v>
      </c>
      <c r="S43" s="140">
        <f t="shared" si="18"/>
        <v>22364.371490856644</v>
      </c>
      <c r="T43" s="34">
        <f t="shared" si="15"/>
        <v>1863.6976242380535</v>
      </c>
    </row>
    <row r="44" spans="1:20" x14ac:dyDescent="0.3">
      <c r="A44" s="224"/>
      <c r="B44" s="21" t="s">
        <v>58</v>
      </c>
      <c r="C44" s="23" t="str">
        <f t="shared" si="16"/>
        <v>Town of Antigonish</v>
      </c>
      <c r="D44" s="80">
        <v>8.6999999999999994E-3</v>
      </c>
      <c r="E44" s="34">
        <f>D44*$E$50</f>
        <v>137025</v>
      </c>
      <c r="G44" s="167">
        <v>8.6999999999999994E-3</v>
      </c>
      <c r="H44" s="34">
        <f t="shared" si="12"/>
        <v>-871.05269999999996</v>
      </c>
      <c r="J44" s="165">
        <f>'Initial Fee Calculation'!G10</f>
        <v>8.4736122423622641E-3</v>
      </c>
      <c r="K44" s="37">
        <f>'Initial Fee Calculation'!H10</f>
        <v>125834.16710616095</v>
      </c>
      <c r="L44" s="185">
        <f t="shared" si="9"/>
        <v>8.6999999999999994E-3</v>
      </c>
      <c r="M44" s="37">
        <f t="shared" si="13"/>
        <v>129196.05269999999</v>
      </c>
      <c r="N44" s="34">
        <f t="shared" si="14"/>
        <v>3361.8855938390334</v>
      </c>
      <c r="P44" s="142">
        <f t="shared" si="10"/>
        <v>137025</v>
      </c>
      <c r="Q44" s="162">
        <f t="shared" si="11"/>
        <v>-871.05269999999996</v>
      </c>
      <c r="R44" s="162">
        <f t="shared" si="17"/>
        <v>3361.8855938390334</v>
      </c>
      <c r="S44" s="140">
        <f t="shared" si="18"/>
        <v>139515.83289383905</v>
      </c>
      <c r="T44" s="34">
        <f t="shared" si="15"/>
        <v>11626.319407819921</v>
      </c>
    </row>
    <row r="45" spans="1:20" hidden="1" x14ac:dyDescent="0.3">
      <c r="A45" s="224"/>
      <c r="B45" s="136"/>
      <c r="C45" s="23" t="str">
        <f t="shared" si="16"/>
        <v>Other</v>
      </c>
      <c r="D45" s="80">
        <v>0</v>
      </c>
      <c r="E45" s="34">
        <f t="shared" ref="E45" si="19">D45*$E$50</f>
        <v>0</v>
      </c>
      <c r="G45" s="138">
        <f>'Initial Fee Calculation'!G11</f>
        <v>0</v>
      </c>
      <c r="H45" s="34">
        <f t="shared" si="12"/>
        <v>0</v>
      </c>
      <c r="J45" s="165">
        <f>'Initial Fee Calculation'!G11</f>
        <v>0</v>
      </c>
      <c r="K45" s="37">
        <f>'Initial Fee Calculation'!H11</f>
        <v>0</v>
      </c>
      <c r="L45" s="141">
        <f t="shared" ref="L45:L48" si="20">G45</f>
        <v>0</v>
      </c>
      <c r="M45" s="37">
        <f t="shared" si="13"/>
        <v>0</v>
      </c>
      <c r="N45" s="34">
        <f t="shared" si="14"/>
        <v>0</v>
      </c>
      <c r="P45" s="142">
        <f t="shared" si="10"/>
        <v>0</v>
      </c>
      <c r="Q45" s="162">
        <f t="shared" si="11"/>
        <v>0</v>
      </c>
      <c r="R45" s="162"/>
      <c r="S45" s="140">
        <f t="shared" si="18"/>
        <v>0</v>
      </c>
      <c r="T45" s="34">
        <f t="shared" si="15"/>
        <v>0</v>
      </c>
    </row>
    <row r="46" spans="1:20" hidden="1" x14ac:dyDescent="0.3">
      <c r="A46" s="224"/>
      <c r="C46" s="23" t="str">
        <f t="shared" si="16"/>
        <v>Other</v>
      </c>
      <c r="D46" s="80">
        <v>0</v>
      </c>
      <c r="E46" s="34">
        <f>D46*$E$50</f>
        <v>0</v>
      </c>
      <c r="G46" s="138">
        <f>'Initial Fee Calculation'!G12</f>
        <v>0</v>
      </c>
      <c r="H46" s="34">
        <f t="shared" si="12"/>
        <v>0</v>
      </c>
      <c r="J46" s="165">
        <f>'Initial Fee Calculation'!G12</f>
        <v>0</v>
      </c>
      <c r="K46" s="37">
        <f>'Initial Fee Calculation'!H12</f>
        <v>0</v>
      </c>
      <c r="L46" s="141">
        <f t="shared" si="20"/>
        <v>0</v>
      </c>
      <c r="M46" s="37">
        <f t="shared" si="13"/>
        <v>0</v>
      </c>
      <c r="N46" s="34">
        <f t="shared" si="14"/>
        <v>0</v>
      </c>
      <c r="P46" s="142">
        <f t="shared" si="10"/>
        <v>0</v>
      </c>
      <c r="Q46" s="162">
        <f t="shared" si="11"/>
        <v>0</v>
      </c>
      <c r="R46" s="162"/>
      <c r="S46" s="140">
        <f t="shared" si="18"/>
        <v>0</v>
      </c>
      <c r="T46" s="34">
        <f t="shared" si="15"/>
        <v>0</v>
      </c>
    </row>
    <row r="47" spans="1:20" hidden="1" x14ac:dyDescent="0.3">
      <c r="A47" s="224"/>
      <c r="C47" s="23" t="str">
        <f t="shared" si="16"/>
        <v>Other</v>
      </c>
      <c r="D47" s="80">
        <v>0</v>
      </c>
      <c r="E47" s="34">
        <f>D47*$E$50</f>
        <v>0</v>
      </c>
      <c r="G47" s="138">
        <f>'Initial Fee Calculation'!G13</f>
        <v>0</v>
      </c>
      <c r="H47" s="34">
        <f t="shared" si="12"/>
        <v>0</v>
      </c>
      <c r="J47" s="165">
        <f>'Initial Fee Calculation'!G13</f>
        <v>0</v>
      </c>
      <c r="K47" s="37">
        <f>'Initial Fee Calculation'!H13</f>
        <v>0</v>
      </c>
      <c r="L47" s="141">
        <f t="shared" si="20"/>
        <v>0</v>
      </c>
      <c r="M47" s="37">
        <f t="shared" si="13"/>
        <v>0</v>
      </c>
      <c r="N47" s="34">
        <f t="shared" si="14"/>
        <v>0</v>
      </c>
      <c r="P47" s="142">
        <f t="shared" si="10"/>
        <v>0</v>
      </c>
      <c r="Q47" s="162">
        <f t="shared" si="11"/>
        <v>0</v>
      </c>
      <c r="R47" s="162"/>
      <c r="S47" s="140">
        <f t="shared" si="18"/>
        <v>0</v>
      </c>
      <c r="T47" s="34">
        <f t="shared" si="15"/>
        <v>0</v>
      </c>
    </row>
    <row r="48" spans="1:20" hidden="1" x14ac:dyDescent="0.3">
      <c r="A48" s="224"/>
      <c r="C48" s="23" t="str">
        <f t="shared" si="16"/>
        <v>Other</v>
      </c>
      <c r="D48" s="80">
        <v>0</v>
      </c>
      <c r="E48" s="34">
        <f>D48*$E$50</f>
        <v>0</v>
      </c>
      <c r="G48" s="138">
        <f>'Initial Fee Calculation'!G14</f>
        <v>0</v>
      </c>
      <c r="H48" s="34">
        <f t="shared" si="12"/>
        <v>0</v>
      </c>
      <c r="J48" s="165">
        <f>'Initial Fee Calculation'!G14</f>
        <v>0</v>
      </c>
      <c r="K48" s="37">
        <f>'Initial Fee Calculation'!H14</f>
        <v>0</v>
      </c>
      <c r="L48" s="141">
        <f t="shared" si="20"/>
        <v>0</v>
      </c>
      <c r="M48" s="37">
        <f t="shared" si="13"/>
        <v>0</v>
      </c>
      <c r="N48" s="34">
        <f t="shared" si="14"/>
        <v>0</v>
      </c>
      <c r="P48" s="142">
        <f t="shared" si="10"/>
        <v>0</v>
      </c>
      <c r="Q48" s="162">
        <f t="shared" si="11"/>
        <v>0</v>
      </c>
      <c r="R48" s="162"/>
      <c r="S48" s="140">
        <f t="shared" si="18"/>
        <v>0</v>
      </c>
      <c r="T48" s="34">
        <f t="shared" si="15"/>
        <v>0</v>
      </c>
    </row>
    <row r="49" spans="1:20" ht="8.4" customHeight="1" x14ac:dyDescent="0.3">
      <c r="A49" s="224"/>
      <c r="C49" s="23"/>
      <c r="D49" s="3"/>
      <c r="E49" s="29"/>
      <c r="G49" s="138"/>
      <c r="H49" s="34"/>
      <c r="J49" s="165"/>
      <c r="K49" s="37"/>
      <c r="L49" s="141"/>
      <c r="M49" s="37"/>
      <c r="N49" s="34"/>
      <c r="P49" s="23"/>
      <c r="Q49" s="162"/>
      <c r="S49" s="140"/>
      <c r="T49" s="29"/>
    </row>
    <row r="50" spans="1:20" ht="15" thickBot="1" x14ac:dyDescent="0.35">
      <c r="A50" s="224"/>
      <c r="C50" s="65" t="str">
        <f>C30</f>
        <v>Total</v>
      </c>
      <c r="D50" s="139">
        <f>SUM(D40:D49)</f>
        <v>1</v>
      </c>
      <c r="E50" s="144">
        <v>15750000</v>
      </c>
      <c r="G50" s="158">
        <f>SUM(G40:G49)</f>
        <v>1</v>
      </c>
      <c r="H50" s="36">
        <f>E54</f>
        <v>-100121</v>
      </c>
      <c r="J50" s="166">
        <f>SUM(J40:J49)</f>
        <v>0.99999999999999989</v>
      </c>
      <c r="K50" s="70">
        <f>SUM(K40:K49)</f>
        <v>14850121</v>
      </c>
      <c r="L50" s="139">
        <f>SUM(L40:L49)</f>
        <v>1</v>
      </c>
      <c r="M50" s="131">
        <f>K50</f>
        <v>14850121</v>
      </c>
      <c r="N50" s="36">
        <f>SUM(N40:N49)</f>
        <v>1.4260876923799515E-9</v>
      </c>
      <c r="P50" s="41">
        <f>E50</f>
        <v>15750000</v>
      </c>
      <c r="Q50" s="160">
        <f>SUM(Q40:Q48)</f>
        <v>-100121</v>
      </c>
      <c r="R50" s="160">
        <f>SUM(R40:R49)</f>
        <v>1.4260876923799515E-9</v>
      </c>
      <c r="S50" s="51">
        <f>SUM(S40:S48)</f>
        <v>15649879</v>
      </c>
      <c r="T50" s="27">
        <f>SUM(T40:T48)</f>
        <v>1304156.5833333335</v>
      </c>
    </row>
    <row r="51" spans="1:20" ht="15" thickBot="1" x14ac:dyDescent="0.35">
      <c r="J51" s="77"/>
      <c r="K51" s="77"/>
    </row>
    <row r="52" spans="1:20" ht="14.4" customHeight="1" x14ac:dyDescent="0.3">
      <c r="C52" s="168"/>
      <c r="D52" s="169" t="s">
        <v>98</v>
      </c>
      <c r="E52" s="173">
        <f>'Fee Recovery Calculation'!F13</f>
        <v>14850121</v>
      </c>
      <c r="G52" s="227" t="s">
        <v>138</v>
      </c>
      <c r="H52" s="227"/>
      <c r="I52" s="163"/>
      <c r="J52" s="222" t="s">
        <v>151</v>
      </c>
      <c r="K52" s="222"/>
      <c r="L52" s="222"/>
      <c r="M52" s="222"/>
      <c r="N52" s="222"/>
    </row>
    <row r="53" spans="1:20" x14ac:dyDescent="0.3">
      <c r="C53" s="23"/>
      <c r="D53" s="170" t="s">
        <v>99</v>
      </c>
      <c r="E53" s="174">
        <v>14750000</v>
      </c>
      <c r="G53" s="227"/>
      <c r="H53" s="227"/>
      <c r="I53" s="163"/>
      <c r="J53" s="222"/>
      <c r="K53" s="222"/>
      <c r="L53" s="222"/>
      <c r="M53" s="222"/>
      <c r="N53" s="222"/>
    </row>
    <row r="54" spans="1:20" ht="15" thickBot="1" x14ac:dyDescent="0.35">
      <c r="C54" s="24"/>
      <c r="D54" s="172" t="s">
        <v>100</v>
      </c>
      <c r="E54" s="36">
        <f>E53-E52</f>
        <v>-100121</v>
      </c>
      <c r="G54" s="227"/>
      <c r="H54" s="227"/>
      <c r="I54" s="163"/>
      <c r="J54" s="222"/>
      <c r="K54" s="222"/>
      <c r="L54" s="222"/>
      <c r="M54" s="222"/>
      <c r="N54" s="222"/>
    </row>
    <row r="55" spans="1:20" ht="14.4" customHeight="1" x14ac:dyDescent="0.3">
      <c r="G55" s="227"/>
      <c r="H55" s="227"/>
    </row>
    <row r="56" spans="1:20" s="26" customFormat="1" ht="15" thickBot="1" x14ac:dyDescent="0.35">
      <c r="A56" s="130"/>
      <c r="B56" s="130"/>
      <c r="H56" s="135"/>
      <c r="J56" s="135"/>
    </row>
    <row r="59" spans="1:20" x14ac:dyDescent="0.3">
      <c r="D59" s="162"/>
      <c r="E59" s="162"/>
      <c r="F59" s="162"/>
      <c r="G59" s="162"/>
      <c r="H59" s="162"/>
    </row>
    <row r="60" spans="1:20" x14ac:dyDescent="0.3">
      <c r="D60" s="162"/>
    </row>
    <row r="61" spans="1:20" x14ac:dyDescent="0.3">
      <c r="D61" s="162"/>
    </row>
    <row r="62" spans="1:20" x14ac:dyDescent="0.3">
      <c r="D62" s="162"/>
    </row>
    <row r="63" spans="1:20" x14ac:dyDescent="0.3">
      <c r="D63" s="162"/>
    </row>
    <row r="64" spans="1:20" x14ac:dyDescent="0.3">
      <c r="D64" s="162"/>
    </row>
    <row r="65" spans="4:4" x14ac:dyDescent="0.3">
      <c r="D65" s="162"/>
    </row>
    <row r="66" spans="4:4" x14ac:dyDescent="0.3">
      <c r="D66" s="162"/>
    </row>
    <row r="67" spans="4:4" x14ac:dyDescent="0.3">
      <c r="D67" s="162"/>
    </row>
    <row r="68" spans="4:4" x14ac:dyDescent="0.3">
      <c r="D68" s="162"/>
    </row>
  </sheetData>
  <mergeCells count="18">
    <mergeCell ref="D3:E3"/>
    <mergeCell ref="A4:A15"/>
    <mergeCell ref="B6:B8"/>
    <mergeCell ref="G18:H18"/>
    <mergeCell ref="P38:T38"/>
    <mergeCell ref="J52:N54"/>
    <mergeCell ref="D18:E18"/>
    <mergeCell ref="A19:A30"/>
    <mergeCell ref="B21:B23"/>
    <mergeCell ref="A38:A50"/>
    <mergeCell ref="D38:E38"/>
    <mergeCell ref="B41:B43"/>
    <mergeCell ref="J18:M18"/>
    <mergeCell ref="G32:H35"/>
    <mergeCell ref="J38:N38"/>
    <mergeCell ref="J32:K35"/>
    <mergeCell ref="G38:H38"/>
    <mergeCell ref="G52:H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FF6D-609E-48F9-93C5-606E39338E88}">
  <sheetPr codeName="Sheet7"/>
  <dimension ref="A1:V118"/>
  <sheetViews>
    <sheetView topLeftCell="A16" zoomScaleNormal="100" workbookViewId="0">
      <selection activeCell="D88" sqref="D88"/>
    </sheetView>
  </sheetViews>
  <sheetFormatPr defaultColWidth="8.88671875" defaultRowHeight="14.4" x14ac:dyDescent="0.3"/>
  <cols>
    <col min="1" max="1" width="12.6640625" style="21" customWidth="1"/>
    <col min="2" max="2" width="16.44140625" style="21" customWidth="1"/>
    <col min="3" max="3" width="31.6640625" style="2" bestFit="1" customWidth="1"/>
    <col min="4" max="5" width="17.109375" style="2" customWidth="1"/>
    <col min="6" max="6" width="4.77734375" style="2" customWidth="1"/>
    <col min="7" max="7" width="17.109375" style="2" customWidth="1"/>
    <col min="8" max="8" width="16.44140625" style="2" customWidth="1"/>
    <col min="9" max="9" width="4.77734375" style="2" customWidth="1"/>
    <col min="10" max="10" width="13.77734375" style="2" customWidth="1"/>
    <col min="11" max="11" width="15.77734375" style="2" customWidth="1"/>
    <col min="12" max="12" width="14.44140625" style="2" customWidth="1"/>
    <col min="13" max="13" width="17.33203125" style="2" customWidth="1"/>
    <col min="14" max="14" width="13.5546875" style="2" customWidth="1"/>
    <col min="15" max="15" width="7.21875" style="2" customWidth="1"/>
    <col min="16" max="16" width="18.109375" style="2" customWidth="1"/>
    <col min="17" max="17" width="11" style="2" customWidth="1"/>
    <col min="18" max="18" width="12.33203125" style="2" customWidth="1"/>
    <col min="19" max="19" width="15.88671875" style="2" customWidth="1"/>
    <col min="20" max="20" width="17.33203125" style="2" customWidth="1"/>
    <col min="21" max="21" width="16.33203125" style="2" customWidth="1"/>
    <col min="22" max="22" width="18.5546875" style="2" customWidth="1"/>
    <col min="23" max="23" width="14.33203125" style="2" customWidth="1"/>
    <col min="24" max="16384" width="8.88671875" style="2"/>
  </cols>
  <sheetData>
    <row r="1" spans="1:16" x14ac:dyDescent="0.3">
      <c r="B1" s="143" t="s">
        <v>76</v>
      </c>
    </row>
    <row r="3" spans="1:16" ht="15" thickBot="1" x14ac:dyDescent="0.35">
      <c r="C3" s="66"/>
      <c r="D3" s="223" t="s">
        <v>68</v>
      </c>
      <c r="E3" s="223"/>
    </row>
    <row r="4" spans="1:16" ht="28.8" x14ac:dyDescent="0.3">
      <c r="A4" s="224" t="s">
        <v>111</v>
      </c>
      <c r="C4" s="64"/>
      <c r="D4" s="12" t="s">
        <v>62</v>
      </c>
      <c r="E4" s="16" t="s">
        <v>67</v>
      </c>
    </row>
    <row r="5" spans="1:16" x14ac:dyDescent="0.3">
      <c r="A5" s="224"/>
      <c r="C5" s="23" t="str">
        <f>'Initial Fee Calculation'!B6</f>
        <v>NSPI</v>
      </c>
      <c r="D5" s="142">
        <f>'Fee Recovery Calculation'!I4</f>
        <v>10365999.73384355</v>
      </c>
      <c r="E5" s="34">
        <f>D5/4</f>
        <v>2591499.9334608875</v>
      </c>
    </row>
    <row r="6" spans="1:16" x14ac:dyDescent="0.3">
      <c r="A6" s="224"/>
      <c r="B6" s="225" t="s">
        <v>64</v>
      </c>
      <c r="C6" s="23" t="str">
        <f>'Initial Fee Calculation'!B7</f>
        <v>Berwick Electric Commission</v>
      </c>
      <c r="D6" s="142">
        <f>'Fee Recovery Calculation'!I5</f>
        <v>75138.622640298971</v>
      </c>
      <c r="E6" s="34">
        <f t="shared" ref="E6:E9" si="0">D6/4</f>
        <v>18784.655660074743</v>
      </c>
    </row>
    <row r="7" spans="1:16" x14ac:dyDescent="0.3">
      <c r="A7" s="224"/>
      <c r="B7" s="225"/>
      <c r="C7" s="23" t="str">
        <f>'Initial Fee Calculation'!B8</f>
        <v>Riverport Electric Light Commission</v>
      </c>
      <c r="D7" s="142">
        <f>'Fee Recovery Calculation'!I6</f>
        <v>17930.032766529202</v>
      </c>
      <c r="E7" s="34">
        <f t="shared" si="0"/>
        <v>4482.5081916323006</v>
      </c>
    </row>
    <row r="8" spans="1:16" x14ac:dyDescent="0.3">
      <c r="A8" s="224"/>
      <c r="B8" s="225"/>
      <c r="C8" s="23" t="str">
        <f>'Initial Fee Calculation'!B9</f>
        <v>Town of Mahone Bay</v>
      </c>
      <c r="D8" s="142">
        <f>'Fee Recovery Calculation'!I7</f>
        <v>27529.252742769393</v>
      </c>
      <c r="E8" s="34">
        <f t="shared" si="0"/>
        <v>6882.3131856923483</v>
      </c>
    </row>
    <row r="9" spans="1:16" x14ac:dyDescent="0.3">
      <c r="A9" s="224"/>
      <c r="B9" s="21" t="s">
        <v>63</v>
      </c>
      <c r="C9" s="23" t="str">
        <f>'Initial Fee Calculation'!B10</f>
        <v>Town of Antigonish</v>
      </c>
      <c r="D9" s="142">
        <f>'Fee Recovery Calculation'!I8</f>
        <v>170347.35800685169</v>
      </c>
      <c r="E9" s="34">
        <f t="shared" si="0"/>
        <v>42586.839501712922</v>
      </c>
    </row>
    <row r="10" spans="1:16" ht="14.4" hidden="1" customHeight="1" x14ac:dyDescent="0.3">
      <c r="A10" s="224"/>
      <c r="C10" s="23" t="str">
        <f>'Initial Fee Calculation'!B11</f>
        <v>Other</v>
      </c>
      <c r="D10" s="142">
        <f>'Fee Recovery Calculation'!I9</f>
        <v>0</v>
      </c>
      <c r="E10" s="34">
        <f t="shared" ref="E10:E13" si="1">D10/12</f>
        <v>0</v>
      </c>
    </row>
    <row r="11" spans="1:16" ht="14.4" hidden="1" customHeight="1" x14ac:dyDescent="0.3">
      <c r="A11" s="224"/>
      <c r="C11" s="23" t="str">
        <f>'Initial Fee Calculation'!B12</f>
        <v>Other</v>
      </c>
      <c r="D11" s="142">
        <f>'Fee Recovery Calculation'!I10</f>
        <v>0</v>
      </c>
      <c r="E11" s="34">
        <f t="shared" si="1"/>
        <v>0</v>
      </c>
    </row>
    <row r="12" spans="1:16" ht="14.4" hidden="1" customHeight="1" x14ac:dyDescent="0.3">
      <c r="A12" s="224"/>
      <c r="C12" s="23" t="str">
        <f>'Initial Fee Calculation'!B13</f>
        <v>Other</v>
      </c>
      <c r="D12" s="142">
        <f>'Fee Recovery Calculation'!I11</f>
        <v>0</v>
      </c>
      <c r="E12" s="34">
        <f t="shared" si="1"/>
        <v>0</v>
      </c>
    </row>
    <row r="13" spans="1:16" ht="14.4" hidden="1" customHeight="1" x14ac:dyDescent="0.3">
      <c r="A13" s="224"/>
      <c r="C13" s="23" t="str">
        <f>'Initial Fee Calculation'!B14</f>
        <v>Other</v>
      </c>
      <c r="D13" s="142">
        <f>'Fee Recovery Calculation'!I12</f>
        <v>0</v>
      </c>
      <c r="E13" s="34">
        <f t="shared" si="1"/>
        <v>0</v>
      </c>
    </row>
    <row r="14" spans="1:16" ht="8.4" customHeight="1" x14ac:dyDescent="0.3">
      <c r="A14" s="224"/>
      <c r="C14" s="23"/>
      <c r="D14" s="23"/>
      <c r="E14" s="29"/>
    </row>
    <row r="15" spans="1:16" ht="15" thickBot="1" x14ac:dyDescent="0.35">
      <c r="A15" s="224"/>
      <c r="C15" s="65" t="str">
        <f>'Initial Fee Calculation'!B16</f>
        <v>Total</v>
      </c>
      <c r="D15" s="41">
        <f>SUM(D5:D14)</f>
        <v>10656944.999999998</v>
      </c>
      <c r="E15" s="36">
        <f>SUM(E5:E13)</f>
        <v>2664236.2499999995</v>
      </c>
    </row>
    <row r="16" spans="1:16" ht="14.4" customHeight="1" x14ac:dyDescent="0.3">
      <c r="A16" s="224"/>
      <c r="C16" s="21"/>
      <c r="D16" s="21"/>
      <c r="E16" s="21"/>
      <c r="F16" s="21"/>
      <c r="G16" s="21"/>
      <c r="N16" s="157"/>
      <c r="O16" s="157"/>
      <c r="P16" s="157"/>
    </row>
    <row r="17" spans="1:13" ht="15" customHeight="1" thickBot="1" x14ac:dyDescent="0.35">
      <c r="A17" s="224"/>
      <c r="C17" s="66"/>
      <c r="D17" s="223" t="s">
        <v>68</v>
      </c>
      <c r="E17" s="223"/>
      <c r="F17" s="21"/>
      <c r="G17" s="223" t="s">
        <v>77</v>
      </c>
      <c r="H17" s="223"/>
      <c r="J17" s="226" t="s">
        <v>80</v>
      </c>
      <c r="K17" s="226"/>
      <c r="L17" s="226"/>
      <c r="M17" s="226"/>
    </row>
    <row r="18" spans="1:13" ht="57.6" x14ac:dyDescent="0.3">
      <c r="A18" s="224"/>
      <c r="C18" s="64"/>
      <c r="D18" s="12" t="s">
        <v>62</v>
      </c>
      <c r="E18" s="16" t="s">
        <v>67</v>
      </c>
      <c r="F18" s="21"/>
      <c r="G18" s="12" t="s">
        <v>136</v>
      </c>
      <c r="H18" s="16" t="s">
        <v>77</v>
      </c>
      <c r="J18" s="12" t="s">
        <v>81</v>
      </c>
      <c r="K18" s="13" t="str">
        <f t="shared" ref="K18:K27" si="2">H18</f>
        <v>2025/26 True-Up</v>
      </c>
      <c r="L18" s="14" t="s">
        <v>72</v>
      </c>
      <c r="M18" s="16" t="s">
        <v>82</v>
      </c>
    </row>
    <row r="19" spans="1:13" x14ac:dyDescent="0.3">
      <c r="A19" s="224"/>
      <c r="C19" s="23" t="str">
        <f>C5</f>
        <v>NSPI</v>
      </c>
      <c r="D19" s="142">
        <f>D5</f>
        <v>10365999.73384355</v>
      </c>
      <c r="E19" s="34">
        <f>D19/4</f>
        <v>2591499.9334608875</v>
      </c>
      <c r="F19" s="21"/>
      <c r="G19" s="138">
        <f>'Initial Fee Calculation'!D6</f>
        <v>0.985673835420112</v>
      </c>
      <c r="H19" s="34">
        <f>G19*$H$29</f>
        <v>-309344.86218208337</v>
      </c>
      <c r="J19" s="142">
        <f t="shared" ref="J19:J27" si="3">D19</f>
        <v>10365999.73384355</v>
      </c>
      <c r="K19" s="37">
        <f t="shared" si="2"/>
        <v>-309344.86218208337</v>
      </c>
      <c r="L19" s="140">
        <f t="shared" ref="L19:L27" si="4">J19+K19</f>
        <v>10056654.871661467</v>
      </c>
      <c r="M19" s="34">
        <f t="shared" ref="M19:M27" si="5">L19/4</f>
        <v>2514163.7179153669</v>
      </c>
    </row>
    <row r="20" spans="1:13" x14ac:dyDescent="0.3">
      <c r="A20" s="224"/>
      <c r="C20" s="23" t="str">
        <f t="shared" ref="C20:D29" si="6">C6</f>
        <v>Berwick Electric Commission</v>
      </c>
      <c r="D20" s="142">
        <f t="shared" si="6"/>
        <v>75138.622640298971</v>
      </c>
      <c r="E20" s="34">
        <f t="shared" ref="E20:E23" si="7">D20/4</f>
        <v>18784.655660074743</v>
      </c>
      <c r="F20" s="21"/>
      <c r="G20" s="138">
        <f>'Initial Fee Calculation'!D7</f>
        <v>3.6998308598435278E-3</v>
      </c>
      <c r="H20" s="34">
        <f t="shared" ref="H20:H27" si="8">G20*$H$29</f>
        <v>-1161.1586168841527</v>
      </c>
      <c r="J20" s="142">
        <f t="shared" si="3"/>
        <v>75138.622640298971</v>
      </c>
      <c r="K20" s="37">
        <f t="shared" si="2"/>
        <v>-1161.1586168841527</v>
      </c>
      <c r="L20" s="140">
        <f t="shared" si="4"/>
        <v>73977.464023414825</v>
      </c>
      <c r="M20" s="34">
        <f t="shared" si="5"/>
        <v>18494.366005853706</v>
      </c>
    </row>
    <row r="21" spans="1:13" x14ac:dyDescent="0.3">
      <c r="A21" s="224"/>
      <c r="B21" s="137" t="s">
        <v>56</v>
      </c>
      <c r="C21" s="23" t="str">
        <f t="shared" si="6"/>
        <v>Riverport Electric Light Commission</v>
      </c>
      <c r="D21" s="142">
        <f t="shared" si="6"/>
        <v>17930.032766529202</v>
      </c>
      <c r="E21" s="34">
        <f t="shared" si="7"/>
        <v>4482.5081916323006</v>
      </c>
      <c r="F21" s="21"/>
      <c r="G21" s="138">
        <f>'Initial Fee Calculation'!D8</f>
        <v>8.8287602589126211E-4</v>
      </c>
      <c r="H21" s="34">
        <f t="shared" si="8"/>
        <v>-277.08269484173957</v>
      </c>
      <c r="J21" s="142">
        <f t="shared" si="3"/>
        <v>17930.032766529202</v>
      </c>
      <c r="K21" s="37">
        <f t="shared" si="2"/>
        <v>-277.08269484173957</v>
      </c>
      <c r="L21" s="140">
        <f t="shared" si="4"/>
        <v>17652.950071687465</v>
      </c>
      <c r="M21" s="34">
        <f t="shared" si="5"/>
        <v>4413.2375179218661</v>
      </c>
    </row>
    <row r="22" spans="1:13" x14ac:dyDescent="0.3">
      <c r="A22" s="224"/>
      <c r="C22" s="23" t="str">
        <f t="shared" si="6"/>
        <v>Town of Mahone Bay</v>
      </c>
      <c r="D22" s="142">
        <f t="shared" si="6"/>
        <v>27529.252742769393</v>
      </c>
      <c r="E22" s="34">
        <f t="shared" si="7"/>
        <v>6882.3131856923483</v>
      </c>
      <c r="F22" s="21"/>
      <c r="G22" s="138">
        <f>'Initial Fee Calculation'!D9</f>
        <v>1.3555422666412216E-3</v>
      </c>
      <c r="H22" s="34">
        <f t="shared" si="8"/>
        <v>-425.42474050494764</v>
      </c>
      <c r="J22" s="142">
        <f t="shared" si="3"/>
        <v>27529.252742769393</v>
      </c>
      <c r="K22" s="37">
        <f t="shared" si="2"/>
        <v>-425.42474050494764</v>
      </c>
      <c r="L22" s="140">
        <f t="shared" si="4"/>
        <v>27103.828002264447</v>
      </c>
      <c r="M22" s="34">
        <f t="shared" si="5"/>
        <v>6775.9570005661117</v>
      </c>
    </row>
    <row r="23" spans="1:13" x14ac:dyDescent="0.3">
      <c r="A23" s="224"/>
      <c r="C23" s="23" t="str">
        <f t="shared" si="6"/>
        <v>Town of Antigonish</v>
      </c>
      <c r="D23" s="142">
        <f t="shared" si="6"/>
        <v>170347.35800685169</v>
      </c>
      <c r="E23" s="34">
        <f t="shared" si="7"/>
        <v>42586.839501712922</v>
      </c>
      <c r="F23" s="21"/>
      <c r="G23" s="138">
        <f>'Initial Fee Calculation'!D10</f>
        <v>8.3879154275119643E-3</v>
      </c>
      <c r="H23" s="34">
        <f t="shared" si="8"/>
        <v>-2632.4717656857824</v>
      </c>
      <c r="J23" s="142">
        <f t="shared" si="3"/>
        <v>170347.35800685169</v>
      </c>
      <c r="K23" s="37">
        <f t="shared" si="2"/>
        <v>-2632.4717656857824</v>
      </c>
      <c r="L23" s="140">
        <f t="shared" si="4"/>
        <v>167714.88624116592</v>
      </c>
      <c r="M23" s="34">
        <f t="shared" si="5"/>
        <v>41928.72156029148</v>
      </c>
    </row>
    <row r="24" spans="1:13" ht="14.4" hidden="1" customHeight="1" x14ac:dyDescent="0.3">
      <c r="A24" s="224"/>
      <c r="C24" s="23" t="str">
        <f t="shared" si="6"/>
        <v>Other</v>
      </c>
      <c r="D24" s="142">
        <f t="shared" ref="D24" si="9">D10</f>
        <v>0</v>
      </c>
      <c r="E24" s="34">
        <f t="shared" ref="E24:E27" si="10">D24/12</f>
        <v>0</v>
      </c>
      <c r="F24" s="21"/>
      <c r="G24" s="138">
        <f>'Initial Fee Calculation'!D11</f>
        <v>0</v>
      </c>
      <c r="H24" s="34">
        <f t="shared" si="8"/>
        <v>0</v>
      </c>
      <c r="J24" s="142">
        <f t="shared" si="3"/>
        <v>0</v>
      </c>
      <c r="K24" s="37">
        <f t="shared" si="2"/>
        <v>0</v>
      </c>
      <c r="L24" s="140">
        <f t="shared" si="4"/>
        <v>0</v>
      </c>
      <c r="M24" s="34">
        <f t="shared" si="5"/>
        <v>0</v>
      </c>
    </row>
    <row r="25" spans="1:13" ht="14.4" hidden="1" customHeight="1" x14ac:dyDescent="0.3">
      <c r="A25" s="224"/>
      <c r="C25" s="23" t="str">
        <f t="shared" si="6"/>
        <v>Other</v>
      </c>
      <c r="D25" s="142">
        <f t="shared" ref="D25" si="11">D11</f>
        <v>0</v>
      </c>
      <c r="E25" s="34">
        <f t="shared" si="10"/>
        <v>0</v>
      </c>
      <c r="F25" s="21"/>
      <c r="G25" s="138">
        <f>'Initial Fee Calculation'!D12</f>
        <v>0</v>
      </c>
      <c r="H25" s="34">
        <f t="shared" si="8"/>
        <v>0</v>
      </c>
      <c r="J25" s="142">
        <f t="shared" si="3"/>
        <v>0</v>
      </c>
      <c r="K25" s="37">
        <f t="shared" si="2"/>
        <v>0</v>
      </c>
      <c r="L25" s="140">
        <f t="shared" si="4"/>
        <v>0</v>
      </c>
      <c r="M25" s="34">
        <f t="shared" si="5"/>
        <v>0</v>
      </c>
    </row>
    <row r="26" spans="1:13" ht="14.4" hidden="1" customHeight="1" x14ac:dyDescent="0.3">
      <c r="A26" s="224"/>
      <c r="C26" s="23" t="str">
        <f t="shared" si="6"/>
        <v>Other</v>
      </c>
      <c r="D26" s="142">
        <f t="shared" ref="D26:D27" si="12">D12</f>
        <v>0</v>
      </c>
      <c r="E26" s="34">
        <f t="shared" si="10"/>
        <v>0</v>
      </c>
      <c r="F26" s="21"/>
      <c r="G26" s="138">
        <f>'Initial Fee Calculation'!D13</f>
        <v>0</v>
      </c>
      <c r="H26" s="34">
        <f t="shared" si="8"/>
        <v>0</v>
      </c>
      <c r="J26" s="142">
        <f t="shared" si="3"/>
        <v>0</v>
      </c>
      <c r="K26" s="37">
        <f t="shared" si="2"/>
        <v>0</v>
      </c>
      <c r="L26" s="140">
        <f t="shared" si="4"/>
        <v>0</v>
      </c>
      <c r="M26" s="34">
        <f t="shared" si="5"/>
        <v>0</v>
      </c>
    </row>
    <row r="27" spans="1:13" ht="14.4" hidden="1" customHeight="1" x14ac:dyDescent="0.3">
      <c r="A27" s="224"/>
      <c r="C27" s="23" t="str">
        <f t="shared" si="6"/>
        <v>Other</v>
      </c>
      <c r="D27" s="142">
        <f t="shared" si="12"/>
        <v>0</v>
      </c>
      <c r="E27" s="34">
        <f t="shared" si="10"/>
        <v>0</v>
      </c>
      <c r="F27" s="21"/>
      <c r="G27" s="138">
        <f>'Initial Fee Calculation'!D14</f>
        <v>0</v>
      </c>
      <c r="H27" s="34">
        <f t="shared" si="8"/>
        <v>0</v>
      </c>
      <c r="J27" s="142">
        <f t="shared" si="3"/>
        <v>0</v>
      </c>
      <c r="K27" s="37">
        <f t="shared" si="2"/>
        <v>0</v>
      </c>
      <c r="L27" s="140">
        <f t="shared" si="4"/>
        <v>0</v>
      </c>
      <c r="M27" s="34">
        <f t="shared" si="5"/>
        <v>0</v>
      </c>
    </row>
    <row r="28" spans="1:13" ht="8.4" customHeight="1" x14ac:dyDescent="0.3">
      <c r="A28" s="224"/>
      <c r="C28" s="23"/>
      <c r="D28" s="23"/>
      <c r="E28" s="29"/>
      <c r="F28" s="21"/>
      <c r="G28" s="138"/>
      <c r="H28" s="34"/>
      <c r="J28" s="23"/>
      <c r="K28" s="6"/>
      <c r="L28" s="140"/>
      <c r="M28" s="29"/>
    </row>
    <row r="29" spans="1:13" ht="15" thickBot="1" x14ac:dyDescent="0.35">
      <c r="A29" s="224"/>
      <c r="C29" s="24" t="str">
        <f t="shared" si="6"/>
        <v>Total</v>
      </c>
      <c r="D29" s="41">
        <f>SUM(D19:D28)</f>
        <v>10656944.999999998</v>
      </c>
      <c r="E29" s="36">
        <f>SUM(E19:E27)</f>
        <v>2664236.2499999995</v>
      </c>
      <c r="F29" s="21"/>
      <c r="G29" s="158">
        <f>SUM(G19:G28)</f>
        <v>0.99999999999999989</v>
      </c>
      <c r="H29" s="36">
        <f>E33</f>
        <v>-313841</v>
      </c>
      <c r="J29" s="41">
        <f>D29</f>
        <v>10656944.999999998</v>
      </c>
      <c r="K29" s="70">
        <f>SUM(K19:K27)</f>
        <v>-313840.99999999994</v>
      </c>
      <c r="L29" s="51">
        <f>SUM(L19:L27)</f>
        <v>10343104</v>
      </c>
      <c r="M29" s="27">
        <f>SUM(M19:M27)</f>
        <v>2585776</v>
      </c>
    </row>
    <row r="30" spans="1:13" ht="15" thickBot="1" x14ac:dyDescent="0.35">
      <c r="A30" s="224"/>
      <c r="C30" s="21"/>
      <c r="D30" s="21"/>
      <c r="E30" s="21"/>
      <c r="F30" s="21"/>
      <c r="G30" s="77"/>
      <c r="J30" s="77"/>
    </row>
    <row r="31" spans="1:13" x14ac:dyDescent="0.3">
      <c r="A31" s="224"/>
      <c r="C31" s="168"/>
      <c r="D31" s="169" t="s">
        <v>101</v>
      </c>
      <c r="E31" s="175">
        <f>Input!C4</f>
        <v>5306824</v>
      </c>
      <c r="F31" s="21"/>
      <c r="G31" s="227" t="s">
        <v>140</v>
      </c>
      <c r="H31" s="227"/>
      <c r="J31" s="222" t="s">
        <v>145</v>
      </c>
      <c r="K31" s="222"/>
    </row>
    <row r="32" spans="1:13" ht="14.4" customHeight="1" x14ac:dyDescent="0.3">
      <c r="A32" s="224"/>
      <c r="C32" s="23"/>
      <c r="D32" s="170" t="s">
        <v>102</v>
      </c>
      <c r="E32" s="39">
        <f>Input!C5</f>
        <v>4992983</v>
      </c>
      <c r="F32" s="21"/>
      <c r="G32" s="227"/>
      <c r="H32" s="227"/>
      <c r="I32" s="171"/>
      <c r="J32" s="222"/>
      <c r="K32" s="222"/>
    </row>
    <row r="33" spans="1:11" ht="15" thickBot="1" x14ac:dyDescent="0.35">
      <c r="A33" s="224"/>
      <c r="C33" s="24"/>
      <c r="D33" s="172" t="s">
        <v>103</v>
      </c>
      <c r="E33" s="36">
        <f>E32-E31</f>
        <v>-313841</v>
      </c>
      <c r="F33" s="21"/>
      <c r="G33" s="227"/>
      <c r="H33" s="227"/>
      <c r="I33" s="171"/>
      <c r="J33" s="222"/>
      <c r="K33" s="222"/>
    </row>
    <row r="34" spans="1:11" x14ac:dyDescent="0.3">
      <c r="A34" s="78"/>
      <c r="C34" s="21"/>
      <c r="D34" s="21"/>
      <c r="E34" s="21"/>
      <c r="F34" s="21"/>
      <c r="G34" s="227"/>
      <c r="H34" s="227"/>
      <c r="I34" s="171"/>
      <c r="J34" s="222"/>
      <c r="K34" s="222"/>
    </row>
    <row r="35" spans="1:11" s="26" customFormat="1" ht="15" thickBot="1" x14ac:dyDescent="0.35">
      <c r="A35" s="130"/>
      <c r="B35" s="130"/>
      <c r="C35" s="133"/>
    </row>
    <row r="36" spans="1:11" ht="15" customHeight="1" x14ac:dyDescent="0.3">
      <c r="C36" s="66"/>
      <c r="D36" s="134"/>
      <c r="E36" s="134"/>
    </row>
    <row r="37" spans="1:11" ht="15" thickBot="1" x14ac:dyDescent="0.35">
      <c r="D37" s="223" t="s">
        <v>114</v>
      </c>
      <c r="E37" s="223"/>
    </row>
    <row r="38" spans="1:11" ht="28.8" x14ac:dyDescent="0.3">
      <c r="A38" s="224" t="s">
        <v>112</v>
      </c>
      <c r="C38" s="64"/>
      <c r="D38" s="14" t="s">
        <v>148</v>
      </c>
      <c r="E38" s="16" t="s">
        <v>65</v>
      </c>
    </row>
    <row r="39" spans="1:11" x14ac:dyDescent="0.3">
      <c r="A39" s="224"/>
      <c r="B39" s="21" t="s">
        <v>59</v>
      </c>
      <c r="C39" s="23" t="str">
        <f t="shared" ref="C39:C47" si="13">C5</f>
        <v>NSPI</v>
      </c>
      <c r="D39" s="132">
        <f>Input!E12/Input!$E$22</f>
        <v>0.98545129270423104</v>
      </c>
      <c r="E39" s="34">
        <f>D39*$E$49</f>
        <v>15274495.036915582</v>
      </c>
    </row>
    <row r="40" spans="1:11" x14ac:dyDescent="0.3">
      <c r="A40" s="224"/>
      <c r="B40" s="225" t="s">
        <v>36</v>
      </c>
      <c r="C40" s="23" t="str">
        <f t="shared" si="13"/>
        <v>Berwick Electric Commission</v>
      </c>
      <c r="D40" s="132">
        <f>Input!E13/Input!$E$22</f>
        <v>3.7573040518662981E-3</v>
      </c>
      <c r="E40" s="34">
        <f>D40*$E$49</f>
        <v>58238.212803927621</v>
      </c>
    </row>
    <row r="41" spans="1:11" x14ac:dyDescent="0.3">
      <c r="A41" s="224"/>
      <c r="B41" s="225"/>
      <c r="C41" s="23" t="str">
        <f t="shared" si="13"/>
        <v>Riverport Electric Light Commission</v>
      </c>
      <c r="D41" s="132">
        <f>Input!E14/Input!$E$22</f>
        <v>8.9659062671776986E-4</v>
      </c>
      <c r="E41" s="34">
        <f t="shared" ref="E41:E47" si="14">D41*$E$49</f>
        <v>13897.154714125432</v>
      </c>
    </row>
    <row r="42" spans="1:11" x14ac:dyDescent="0.3">
      <c r="A42" s="224"/>
      <c r="B42" s="225"/>
      <c r="C42" s="23" t="str">
        <f t="shared" si="13"/>
        <v>Town of Mahone Bay</v>
      </c>
      <c r="D42" s="132">
        <f>Input!E15/Input!$E$22</f>
        <v>1.3765992673358282E-3</v>
      </c>
      <c r="E42" s="34">
        <f t="shared" si="14"/>
        <v>21337.288643705338</v>
      </c>
    </row>
    <row r="43" spans="1:11" x14ac:dyDescent="0.3">
      <c r="A43" s="224"/>
      <c r="B43" s="21" t="s">
        <v>57</v>
      </c>
      <c r="C43" s="23" t="str">
        <f t="shared" si="13"/>
        <v>Town of Antigonish</v>
      </c>
      <c r="D43" s="132">
        <f>Input!E16/Input!$E$22</f>
        <v>8.5182133498490249E-3</v>
      </c>
      <c r="E43" s="34">
        <f t="shared" si="14"/>
        <v>132032.30692265989</v>
      </c>
      <c r="J43" s="164"/>
    </row>
    <row r="44" spans="1:11" hidden="1" x14ac:dyDescent="0.3">
      <c r="A44" s="224"/>
      <c r="B44" s="136"/>
      <c r="C44" s="23" t="str">
        <f t="shared" si="13"/>
        <v>Other</v>
      </c>
      <c r="D44" s="132">
        <f>Input!E17/Input!$E$22</f>
        <v>0</v>
      </c>
      <c r="E44" s="34">
        <f t="shared" si="14"/>
        <v>0</v>
      </c>
      <c r="J44" s="164"/>
    </row>
    <row r="45" spans="1:11" hidden="1" x14ac:dyDescent="0.3">
      <c r="A45" s="224"/>
      <c r="C45" s="23" t="str">
        <f t="shared" si="13"/>
        <v>Other</v>
      </c>
      <c r="D45" s="132">
        <f>Input!E18/Input!$E$22</f>
        <v>0</v>
      </c>
      <c r="E45" s="34">
        <f t="shared" si="14"/>
        <v>0</v>
      </c>
      <c r="J45" s="164"/>
    </row>
    <row r="46" spans="1:11" hidden="1" x14ac:dyDescent="0.3">
      <c r="A46" s="224"/>
      <c r="C46" s="23" t="str">
        <f t="shared" si="13"/>
        <v>Other</v>
      </c>
      <c r="D46" s="132">
        <f>Input!E19/Input!$E$22</f>
        <v>0</v>
      </c>
      <c r="E46" s="34">
        <f t="shared" si="14"/>
        <v>0</v>
      </c>
      <c r="J46" s="164"/>
    </row>
    <row r="47" spans="1:11" hidden="1" x14ac:dyDescent="0.3">
      <c r="A47" s="224"/>
      <c r="C47" s="23" t="str">
        <f t="shared" si="13"/>
        <v>Other</v>
      </c>
      <c r="D47" s="132">
        <f>Input!E20/Input!$E$22</f>
        <v>0</v>
      </c>
      <c r="E47" s="34">
        <f t="shared" si="14"/>
        <v>0</v>
      </c>
      <c r="J47" s="164"/>
    </row>
    <row r="48" spans="1:11" ht="8.4" customHeight="1" x14ac:dyDescent="0.3">
      <c r="A48" s="224"/>
      <c r="C48" s="23"/>
      <c r="D48" s="3"/>
      <c r="E48" s="29"/>
      <c r="J48" s="164"/>
    </row>
    <row r="49" spans="1:22" ht="15" thickBot="1" x14ac:dyDescent="0.35">
      <c r="A49" s="224"/>
      <c r="C49" s="65" t="str">
        <f>C15</f>
        <v>Total</v>
      </c>
      <c r="D49" s="71">
        <f>'Initial Fee Calculation'!D16</f>
        <v>0.99999999999999989</v>
      </c>
      <c r="E49" s="144">
        <v>15500000</v>
      </c>
      <c r="J49" s="164"/>
    </row>
    <row r="50" spans="1:22" ht="14.4" customHeight="1" x14ac:dyDescent="0.3">
      <c r="A50" s="224"/>
      <c r="D50" s="77"/>
      <c r="E50" s="77"/>
      <c r="H50" s="157"/>
      <c r="I50" s="157"/>
      <c r="J50" s="164"/>
    </row>
    <row r="51" spans="1:22" ht="14.4" customHeight="1" x14ac:dyDescent="0.3">
      <c r="A51" s="224"/>
      <c r="D51" s="228" t="s">
        <v>113</v>
      </c>
      <c r="E51" s="228"/>
      <c r="I51" s="157"/>
      <c r="J51" s="164"/>
      <c r="S51" s="157"/>
      <c r="T51" s="157"/>
      <c r="U51" s="157"/>
      <c r="V51" s="157"/>
    </row>
    <row r="52" spans="1:22" ht="15" thickBot="1" x14ac:dyDescent="0.35">
      <c r="A52" s="224"/>
      <c r="D52" s="226"/>
      <c r="E52" s="226"/>
      <c r="G52" s="223" t="s">
        <v>71</v>
      </c>
      <c r="H52" s="223"/>
      <c r="I52" s="157"/>
      <c r="J52" s="223" t="s">
        <v>94</v>
      </c>
      <c r="K52" s="223"/>
      <c r="L52" s="223"/>
      <c r="M52" s="223"/>
      <c r="N52" s="223"/>
      <c r="P52" s="226" t="s">
        <v>85</v>
      </c>
      <c r="Q52" s="226"/>
      <c r="R52" s="226"/>
      <c r="S52" s="226"/>
      <c r="T52" s="226"/>
    </row>
    <row r="53" spans="1:22" ht="57.6" x14ac:dyDescent="0.3">
      <c r="A53" s="224"/>
      <c r="C53" s="64"/>
      <c r="D53" s="14" t="str">
        <f t="shared" ref="D53:D62" si="15">D38</f>
        <v>2027/28 Forecast %</v>
      </c>
      <c r="E53" s="16" t="s">
        <v>60</v>
      </c>
      <c r="G53" s="12" t="s">
        <v>137</v>
      </c>
      <c r="H53" s="16" t="s">
        <v>71</v>
      </c>
      <c r="I53" s="157"/>
      <c r="J53" s="12" t="s">
        <v>152</v>
      </c>
      <c r="K53" s="13" t="s">
        <v>109</v>
      </c>
      <c r="L53" s="14" t="s">
        <v>137</v>
      </c>
      <c r="M53" s="13" t="s">
        <v>84</v>
      </c>
      <c r="N53" s="16" t="s">
        <v>83</v>
      </c>
      <c r="P53" s="12" t="str">
        <f t="shared" ref="P53:P62" si="16">E53</f>
        <v>2027/28 Annual Fee Before True-Ups</v>
      </c>
      <c r="Q53" s="15" t="str">
        <f t="shared" ref="Q53:Q62" si="17">H53</f>
        <v>2026/27 True-Up</v>
      </c>
      <c r="R53" s="15" t="s">
        <v>83</v>
      </c>
      <c r="S53" s="14" t="s">
        <v>86</v>
      </c>
      <c r="T53" s="16" t="s">
        <v>87</v>
      </c>
    </row>
    <row r="54" spans="1:22" x14ac:dyDescent="0.3">
      <c r="A54" s="224"/>
      <c r="C54" s="23" t="str">
        <f t="shared" ref="C54:C62" si="18">C39</f>
        <v>NSPI</v>
      </c>
      <c r="D54" s="132">
        <f t="shared" si="15"/>
        <v>0.98545129270423104</v>
      </c>
      <c r="E54" s="34">
        <f>D54*$E$64</f>
        <v>15274495.036915582</v>
      </c>
      <c r="G54" s="167">
        <v>0.98560000000000003</v>
      </c>
      <c r="H54" s="34">
        <f>G54*$H$64</f>
        <v>-98679.257599999997</v>
      </c>
      <c r="I54" s="77"/>
      <c r="J54" s="165">
        <f>'Fee Recovery Calculation'!E4</f>
        <v>0.98552746929564072</v>
      </c>
      <c r="K54" s="37">
        <f>'Fee Recovery Calculation'!F4</f>
        <v>14635202.167864049</v>
      </c>
      <c r="L54" s="185">
        <f>G54</f>
        <v>0.98560000000000003</v>
      </c>
      <c r="M54" s="37">
        <f t="shared" ref="M54:M62" si="19">L54*$M$64</f>
        <v>14636279.2576</v>
      </c>
      <c r="N54" s="34">
        <f t="shared" ref="N54:N62" si="20">M54-K54</f>
        <v>1077.0897359512746</v>
      </c>
      <c r="P54" s="142">
        <f t="shared" si="16"/>
        <v>15274495.036915582</v>
      </c>
      <c r="Q54" s="162">
        <f t="shared" si="17"/>
        <v>-98679.257599999997</v>
      </c>
      <c r="R54" s="162">
        <f>N54</f>
        <v>1077.0897359512746</v>
      </c>
      <c r="S54" s="140">
        <f>P54+Q54+R54</f>
        <v>15176892.869051533</v>
      </c>
      <c r="T54" s="34">
        <f t="shared" ref="T54:T62" si="21">S54/12</f>
        <v>1264741.072420961</v>
      </c>
    </row>
    <row r="55" spans="1:22" x14ac:dyDescent="0.3">
      <c r="A55" s="224"/>
      <c r="B55" s="137" t="s">
        <v>56</v>
      </c>
      <c r="C55" s="23" t="str">
        <f t="shared" si="18"/>
        <v>Berwick Electric Commission</v>
      </c>
      <c r="D55" s="132">
        <f t="shared" si="15"/>
        <v>3.7573040518662981E-3</v>
      </c>
      <c r="E55" s="34">
        <f>D55*$E$64</f>
        <v>58238.212803927621</v>
      </c>
      <c r="G55" s="167">
        <v>3.3E-3</v>
      </c>
      <c r="H55" s="34">
        <f t="shared" ref="H55:H62" si="22">G55*$H$64</f>
        <v>-330.39929999999998</v>
      </c>
      <c r="I55" s="77"/>
      <c r="J55" s="165">
        <f>'Fee Recovery Calculation'!E5</f>
        <v>3.7376309214814272E-3</v>
      </c>
      <c r="K55" s="37">
        <f>'Fee Recovery Calculation'!F5</f>
        <v>55504.271437340693</v>
      </c>
      <c r="L55" s="185">
        <f t="shared" ref="L55:L62" si="23">G55</f>
        <v>3.3E-3</v>
      </c>
      <c r="M55" s="37">
        <f t="shared" si="19"/>
        <v>49005.399299999997</v>
      </c>
      <c r="N55" s="34">
        <f t="shared" si="20"/>
        <v>-6498.8721373406952</v>
      </c>
      <c r="P55" s="142">
        <f t="shared" si="16"/>
        <v>58238.212803927621</v>
      </c>
      <c r="Q55" s="162">
        <f t="shared" si="17"/>
        <v>-330.39929999999998</v>
      </c>
      <c r="R55" s="162">
        <f>N55</f>
        <v>-6498.8721373406952</v>
      </c>
      <c r="S55" s="140">
        <f t="shared" ref="S55" si="24">P55+Q55+R55</f>
        <v>51408.941366586929</v>
      </c>
      <c r="T55" s="34">
        <f t="shared" si="21"/>
        <v>4284.0784472155774</v>
      </c>
    </row>
    <row r="56" spans="1:22" x14ac:dyDescent="0.3">
      <c r="A56" s="224"/>
      <c r="B56" s="21">
        <v>2027</v>
      </c>
      <c r="C56" s="23" t="str">
        <f t="shared" si="18"/>
        <v>Riverport Electric Light Commission</v>
      </c>
      <c r="D56" s="132">
        <f t="shared" si="15"/>
        <v>8.9659062671776986E-4</v>
      </c>
      <c r="E56" s="34">
        <f>D56*$E$64</f>
        <v>13897.154714125432</v>
      </c>
      <c r="G56" s="167">
        <v>1E-3</v>
      </c>
      <c r="H56" s="34">
        <f t="shared" si="22"/>
        <v>-100.121</v>
      </c>
      <c r="I56" s="77"/>
      <c r="J56" s="165">
        <f>'Fee Recovery Calculation'!E6</f>
        <v>8.9189610531152099E-4</v>
      </c>
      <c r="K56" s="37">
        <f>'Fee Recovery Calculation'!F6</f>
        <v>13244.76508330483</v>
      </c>
      <c r="L56" s="185">
        <f t="shared" si="23"/>
        <v>1E-3</v>
      </c>
      <c r="M56" s="37">
        <f t="shared" si="19"/>
        <v>14850.121000000001</v>
      </c>
      <c r="N56" s="34">
        <f t="shared" si="20"/>
        <v>1605.3559166951709</v>
      </c>
      <c r="P56" s="142">
        <f t="shared" si="16"/>
        <v>13897.154714125432</v>
      </c>
      <c r="Q56" s="162">
        <f t="shared" si="17"/>
        <v>-100.121</v>
      </c>
      <c r="R56" s="162">
        <f>N56</f>
        <v>1605.3559166951709</v>
      </c>
      <c r="S56" s="140">
        <f>P56+Q56+R56</f>
        <v>15402.389630820604</v>
      </c>
      <c r="T56" s="34">
        <f t="shared" si="21"/>
        <v>1283.5324692350503</v>
      </c>
    </row>
    <row r="57" spans="1:22" x14ac:dyDescent="0.3">
      <c r="A57" s="224"/>
      <c r="C57" s="23" t="str">
        <f t="shared" si="18"/>
        <v>Town of Mahone Bay</v>
      </c>
      <c r="D57" s="132">
        <f t="shared" si="15"/>
        <v>1.3765992673358282E-3</v>
      </c>
      <c r="E57" s="34">
        <f>D57*$E$64</f>
        <v>21337.288643705338</v>
      </c>
      <c r="G57" s="167">
        <v>1.4E-3</v>
      </c>
      <c r="H57" s="34">
        <f t="shared" si="22"/>
        <v>-140.1694</v>
      </c>
      <c r="I57" s="77"/>
      <c r="J57" s="165">
        <f>'Fee Recovery Calculation'!E7</f>
        <v>1.3693914352040199E-3</v>
      </c>
      <c r="K57" s="37">
        <f>'Fee Recovery Calculation'!F7</f>
        <v>20335.628509143356</v>
      </c>
      <c r="L57" s="185">
        <f t="shared" si="23"/>
        <v>1.4E-3</v>
      </c>
      <c r="M57" s="37">
        <f t="shared" si="19"/>
        <v>20790.169399999999</v>
      </c>
      <c r="N57" s="34">
        <f t="shared" si="20"/>
        <v>454.54089085664236</v>
      </c>
      <c r="P57" s="142">
        <f t="shared" si="16"/>
        <v>21337.288643705338</v>
      </c>
      <c r="Q57" s="162">
        <f t="shared" si="17"/>
        <v>-140.1694</v>
      </c>
      <c r="R57" s="162">
        <f>N57</f>
        <v>454.54089085664236</v>
      </c>
      <c r="S57" s="140">
        <f t="shared" ref="S57:S62" si="25">P57+Q57+R57</f>
        <v>21651.660134561982</v>
      </c>
      <c r="T57" s="34">
        <f t="shared" si="21"/>
        <v>1804.3050112134986</v>
      </c>
    </row>
    <row r="58" spans="1:22" x14ac:dyDescent="0.3">
      <c r="A58" s="224"/>
      <c r="C58" s="23" t="str">
        <f t="shared" si="18"/>
        <v>Town of Antigonish</v>
      </c>
      <c r="D58" s="132">
        <f t="shared" si="15"/>
        <v>8.5182133498490249E-3</v>
      </c>
      <c r="E58" s="34">
        <f>D58*$E$64</f>
        <v>132032.30692265989</v>
      </c>
      <c r="G58" s="167">
        <v>8.6999999999999994E-3</v>
      </c>
      <c r="H58" s="34">
        <f t="shared" si="22"/>
        <v>-871.05269999999996</v>
      </c>
      <c r="I58" s="77"/>
      <c r="J58" s="165">
        <f>'Fee Recovery Calculation'!E8</f>
        <v>8.4736122423622641E-3</v>
      </c>
      <c r="K58" s="37">
        <f>'Fee Recovery Calculation'!F8</f>
        <v>125834.16710616095</v>
      </c>
      <c r="L58" s="185">
        <f t="shared" si="23"/>
        <v>8.6999999999999994E-3</v>
      </c>
      <c r="M58" s="37">
        <f t="shared" si="19"/>
        <v>129196.05269999999</v>
      </c>
      <c r="N58" s="34">
        <f t="shared" si="20"/>
        <v>3361.8855938390334</v>
      </c>
      <c r="P58" s="142">
        <f t="shared" si="16"/>
        <v>132032.30692265989</v>
      </c>
      <c r="Q58" s="162">
        <f t="shared" si="17"/>
        <v>-871.05269999999996</v>
      </c>
      <c r="R58" s="162">
        <f>N58</f>
        <v>3361.8855938390334</v>
      </c>
      <c r="S58" s="140">
        <f t="shared" si="25"/>
        <v>134523.13981649891</v>
      </c>
      <c r="T58" s="34">
        <f t="shared" si="21"/>
        <v>11210.261651374909</v>
      </c>
    </row>
    <row r="59" spans="1:22" hidden="1" x14ac:dyDescent="0.3">
      <c r="A59" s="224"/>
      <c r="C59" s="23" t="str">
        <f t="shared" si="18"/>
        <v>Other</v>
      </c>
      <c r="D59" s="132">
        <f t="shared" si="15"/>
        <v>0</v>
      </c>
      <c r="E59" s="34">
        <f t="shared" ref="E59:E62" si="26">D59*$E$64</f>
        <v>0</v>
      </c>
      <c r="G59" s="167">
        <v>0</v>
      </c>
      <c r="H59" s="34">
        <f t="shared" si="22"/>
        <v>0</v>
      </c>
      <c r="I59" s="77"/>
      <c r="J59" s="165">
        <f>'Fee Recovery Calculation'!E9</f>
        <v>0</v>
      </c>
      <c r="K59" s="37">
        <f>'Fee Recovery Calculation'!F9</f>
        <v>0</v>
      </c>
      <c r="L59" s="141">
        <f t="shared" si="23"/>
        <v>0</v>
      </c>
      <c r="M59" s="37">
        <f t="shared" si="19"/>
        <v>0</v>
      </c>
      <c r="N59" s="34">
        <f t="shared" si="20"/>
        <v>0</v>
      </c>
      <c r="P59" s="142">
        <f t="shared" si="16"/>
        <v>0</v>
      </c>
      <c r="Q59" s="162">
        <f t="shared" si="17"/>
        <v>0</v>
      </c>
      <c r="R59" s="162"/>
      <c r="S59" s="140">
        <f t="shared" si="25"/>
        <v>0</v>
      </c>
      <c r="T59" s="34">
        <f t="shared" si="21"/>
        <v>0</v>
      </c>
    </row>
    <row r="60" spans="1:22" hidden="1" x14ac:dyDescent="0.3">
      <c r="A60" s="224"/>
      <c r="C60" s="23" t="str">
        <f t="shared" si="18"/>
        <v>Other</v>
      </c>
      <c r="D60" s="132">
        <f t="shared" si="15"/>
        <v>0</v>
      </c>
      <c r="E60" s="34">
        <f t="shared" si="26"/>
        <v>0</v>
      </c>
      <c r="G60" s="167">
        <v>0</v>
      </c>
      <c r="H60" s="34">
        <f t="shared" si="22"/>
        <v>0</v>
      </c>
      <c r="I60" s="77"/>
      <c r="J60" s="165">
        <f>'Fee Recovery Calculation'!E10</f>
        <v>0</v>
      </c>
      <c r="K60" s="37">
        <f>'Fee Recovery Calculation'!F10</f>
        <v>0</v>
      </c>
      <c r="L60" s="141">
        <f t="shared" si="23"/>
        <v>0</v>
      </c>
      <c r="M60" s="37">
        <f t="shared" si="19"/>
        <v>0</v>
      </c>
      <c r="N60" s="34">
        <f t="shared" si="20"/>
        <v>0</v>
      </c>
      <c r="P60" s="142">
        <f t="shared" si="16"/>
        <v>0</v>
      </c>
      <c r="Q60" s="162">
        <f t="shared" si="17"/>
        <v>0</v>
      </c>
      <c r="R60" s="162"/>
      <c r="S60" s="140">
        <f t="shared" si="25"/>
        <v>0</v>
      </c>
      <c r="T60" s="34">
        <f t="shared" si="21"/>
        <v>0</v>
      </c>
    </row>
    <row r="61" spans="1:22" hidden="1" x14ac:dyDescent="0.3">
      <c r="A61" s="224"/>
      <c r="C61" s="23" t="str">
        <f t="shared" si="18"/>
        <v>Other</v>
      </c>
      <c r="D61" s="132">
        <f t="shared" si="15"/>
        <v>0</v>
      </c>
      <c r="E61" s="34">
        <f t="shared" si="26"/>
        <v>0</v>
      </c>
      <c r="G61" s="167">
        <v>0</v>
      </c>
      <c r="H61" s="34">
        <f t="shared" si="22"/>
        <v>0</v>
      </c>
      <c r="I61" s="77"/>
      <c r="J61" s="165">
        <f>'Fee Recovery Calculation'!E11</f>
        <v>0</v>
      </c>
      <c r="K61" s="37">
        <f>'Fee Recovery Calculation'!F11</f>
        <v>0</v>
      </c>
      <c r="L61" s="141">
        <f t="shared" si="23"/>
        <v>0</v>
      </c>
      <c r="M61" s="37">
        <f t="shared" si="19"/>
        <v>0</v>
      </c>
      <c r="N61" s="34">
        <f t="shared" si="20"/>
        <v>0</v>
      </c>
      <c r="P61" s="142">
        <f t="shared" si="16"/>
        <v>0</v>
      </c>
      <c r="Q61" s="162">
        <f t="shared" si="17"/>
        <v>0</v>
      </c>
      <c r="R61" s="162"/>
      <c r="S61" s="140">
        <f t="shared" si="25"/>
        <v>0</v>
      </c>
      <c r="T61" s="34">
        <f t="shared" si="21"/>
        <v>0</v>
      </c>
    </row>
    <row r="62" spans="1:22" hidden="1" x14ac:dyDescent="0.3">
      <c r="A62" s="224"/>
      <c r="C62" s="23" t="str">
        <f t="shared" si="18"/>
        <v>Other</v>
      </c>
      <c r="D62" s="132">
        <f t="shared" si="15"/>
        <v>0</v>
      </c>
      <c r="E62" s="34">
        <f t="shared" si="26"/>
        <v>0</v>
      </c>
      <c r="G62" s="167">
        <v>0</v>
      </c>
      <c r="H62" s="34">
        <f t="shared" si="22"/>
        <v>0</v>
      </c>
      <c r="I62" s="77"/>
      <c r="J62" s="165">
        <f>'Fee Recovery Calculation'!E12</f>
        <v>0</v>
      </c>
      <c r="K62" s="37">
        <f>'Fee Recovery Calculation'!F12</f>
        <v>0</v>
      </c>
      <c r="L62" s="141">
        <f t="shared" si="23"/>
        <v>0</v>
      </c>
      <c r="M62" s="37">
        <f t="shared" si="19"/>
        <v>0</v>
      </c>
      <c r="N62" s="34">
        <f t="shared" si="20"/>
        <v>0</v>
      </c>
      <c r="P62" s="142">
        <f t="shared" si="16"/>
        <v>0</v>
      </c>
      <c r="Q62" s="162">
        <f t="shared" si="17"/>
        <v>0</v>
      </c>
      <c r="R62" s="162"/>
      <c r="S62" s="140">
        <f t="shared" si="25"/>
        <v>0</v>
      </c>
      <c r="T62" s="34">
        <f t="shared" si="21"/>
        <v>0</v>
      </c>
    </row>
    <row r="63" spans="1:22" ht="8.4" customHeight="1" x14ac:dyDescent="0.3">
      <c r="A63" s="224"/>
      <c r="C63" s="23"/>
      <c r="D63" s="132"/>
      <c r="E63" s="34"/>
      <c r="G63" s="138"/>
      <c r="H63" s="34"/>
      <c r="I63" s="77"/>
      <c r="J63" s="165"/>
      <c r="K63" s="37"/>
      <c r="L63" s="141"/>
      <c r="M63" s="6"/>
      <c r="N63" s="34"/>
      <c r="P63" s="23"/>
      <c r="S63" s="140"/>
      <c r="T63" s="29"/>
    </row>
    <row r="64" spans="1:22" ht="15" thickBot="1" x14ac:dyDescent="0.35">
      <c r="A64" s="224"/>
      <c r="C64" s="65" t="str">
        <f>C49</f>
        <v>Total</v>
      </c>
      <c r="D64" s="139">
        <f>SUM(D54:D63)</f>
        <v>0.99999999999999989</v>
      </c>
      <c r="E64" s="27">
        <f>E49</f>
        <v>15500000</v>
      </c>
      <c r="G64" s="158">
        <f>SUM(G54:G63)</f>
        <v>1</v>
      </c>
      <c r="H64" s="36">
        <f>E68</f>
        <v>-100121</v>
      </c>
      <c r="I64" s="77"/>
      <c r="J64" s="166">
        <f>SUM(J54:J63)</f>
        <v>0.99999999999999989</v>
      </c>
      <c r="K64" s="70">
        <f>SUM(K54:K63)</f>
        <v>14850121</v>
      </c>
      <c r="L64" s="139">
        <f>SUM(L54:L63)</f>
        <v>1</v>
      </c>
      <c r="M64" s="131">
        <f>K64</f>
        <v>14850121</v>
      </c>
      <c r="N64" s="36">
        <f>SUM(N54:N63)</f>
        <v>1.4260876923799515E-9</v>
      </c>
      <c r="P64" s="41">
        <f>E64</f>
        <v>15500000</v>
      </c>
      <c r="Q64" s="160">
        <f>SUM(Q54:Q62)</f>
        <v>-100121</v>
      </c>
      <c r="R64" s="160">
        <f>SUM(R54:R63)</f>
        <v>1.4260876923799515E-9</v>
      </c>
      <c r="S64" s="51">
        <f>SUM(S54:S62)</f>
        <v>15399879</v>
      </c>
      <c r="T64" s="27">
        <f>SUM(T54:T62)</f>
        <v>1283323.25</v>
      </c>
    </row>
    <row r="65" spans="1:18" ht="15" thickBot="1" x14ac:dyDescent="0.35">
      <c r="F65" s="77"/>
      <c r="G65" s="77"/>
      <c r="I65" s="77"/>
      <c r="O65" s="77"/>
      <c r="P65" s="77"/>
      <c r="Q65" s="77"/>
      <c r="R65" s="77"/>
    </row>
    <row r="66" spans="1:18" ht="14.4" customHeight="1" x14ac:dyDescent="0.3">
      <c r="C66" s="168"/>
      <c r="D66" s="169" t="s">
        <v>98</v>
      </c>
      <c r="E66" s="173">
        <f>'Fee Recovery Calculation'!F13</f>
        <v>14850121</v>
      </c>
      <c r="F66" s="77"/>
      <c r="G66" s="227" t="s">
        <v>141</v>
      </c>
      <c r="H66" s="227"/>
      <c r="I66" s="163"/>
      <c r="J66" s="227" t="s">
        <v>146</v>
      </c>
      <c r="K66" s="227"/>
      <c r="L66" s="227"/>
      <c r="M66" s="227"/>
      <c r="N66" s="227"/>
      <c r="O66" s="77"/>
      <c r="P66" s="77"/>
      <c r="Q66" s="77"/>
      <c r="R66" s="77"/>
    </row>
    <row r="67" spans="1:18" x14ac:dyDescent="0.3">
      <c r="C67" s="23"/>
      <c r="D67" s="170" t="s">
        <v>99</v>
      </c>
      <c r="E67" s="174">
        <v>14750000</v>
      </c>
      <c r="F67" s="77"/>
      <c r="G67" s="227"/>
      <c r="H67" s="227"/>
      <c r="I67" s="163"/>
      <c r="J67" s="227"/>
      <c r="K67" s="227"/>
      <c r="L67" s="227"/>
      <c r="M67" s="227"/>
      <c r="N67" s="227"/>
      <c r="O67" s="77"/>
      <c r="P67" s="77"/>
      <c r="Q67" s="77"/>
      <c r="R67" s="77"/>
    </row>
    <row r="68" spans="1:18" ht="15" thickBot="1" x14ac:dyDescent="0.35">
      <c r="C68" s="24"/>
      <c r="D68" s="172" t="s">
        <v>100</v>
      </c>
      <c r="E68" s="36">
        <f>E67-E66</f>
        <v>-100121</v>
      </c>
      <c r="F68" s="77"/>
      <c r="G68" s="227"/>
      <c r="H68" s="227"/>
      <c r="I68" s="163"/>
      <c r="J68" s="227"/>
      <c r="K68" s="227"/>
      <c r="L68" s="227"/>
      <c r="M68" s="227"/>
      <c r="N68" s="227"/>
      <c r="O68" s="77"/>
      <c r="P68" s="77"/>
      <c r="Q68" s="77"/>
      <c r="R68" s="77"/>
    </row>
    <row r="69" spans="1:18" x14ac:dyDescent="0.3">
      <c r="C69" s="134"/>
      <c r="D69" s="169"/>
      <c r="E69" s="176"/>
      <c r="F69" s="77"/>
      <c r="G69" s="227"/>
      <c r="H69" s="227"/>
      <c r="I69" s="163"/>
      <c r="J69" s="161"/>
      <c r="K69" s="161"/>
      <c r="L69" s="161"/>
      <c r="M69" s="161"/>
      <c r="N69" s="161"/>
      <c r="O69" s="77"/>
      <c r="P69" s="77"/>
      <c r="Q69" s="77"/>
      <c r="R69" s="77"/>
    </row>
    <row r="70" spans="1:18" s="26" customFormat="1" ht="15" thickBot="1" x14ac:dyDescent="0.35">
      <c r="A70" s="130"/>
      <c r="B70" s="130"/>
      <c r="F70" s="135"/>
      <c r="G70" s="135"/>
      <c r="I70" s="135"/>
      <c r="J70" s="135"/>
      <c r="K70" s="135"/>
      <c r="L70" s="135"/>
      <c r="M70" s="135"/>
    </row>
    <row r="71" spans="1:18" x14ac:dyDescent="0.3">
      <c r="F71" s="77"/>
      <c r="G71" s="77"/>
      <c r="I71" s="77"/>
      <c r="J71" s="77"/>
      <c r="K71" s="77"/>
      <c r="L71" s="77"/>
      <c r="M71" s="77"/>
    </row>
    <row r="72" spans="1:18" ht="15" customHeight="1" thickBot="1" x14ac:dyDescent="0.35">
      <c r="A72" s="224" t="s">
        <v>55</v>
      </c>
      <c r="D72" s="223" t="s">
        <v>115</v>
      </c>
      <c r="E72" s="223"/>
    </row>
    <row r="73" spans="1:18" s="1" customFormat="1" ht="28.8" x14ac:dyDescent="0.3">
      <c r="A73" s="224"/>
      <c r="B73" s="21"/>
      <c r="C73" s="64"/>
      <c r="D73" s="14" t="s">
        <v>149</v>
      </c>
      <c r="E73" s="16" t="s">
        <v>66</v>
      </c>
      <c r="F73" s="2"/>
      <c r="G73" s="2"/>
      <c r="H73" s="2"/>
      <c r="I73" s="2"/>
      <c r="J73" s="2"/>
      <c r="K73" s="2"/>
      <c r="P73" s="2"/>
    </row>
    <row r="74" spans="1:18" x14ac:dyDescent="0.3">
      <c r="A74" s="224"/>
      <c r="B74" s="21" t="s">
        <v>61</v>
      </c>
      <c r="C74" s="23" t="str">
        <f t="shared" ref="C74:C82" si="27">C54</f>
        <v>NSPI</v>
      </c>
      <c r="D74" s="80">
        <v>0.98580000000000001</v>
      </c>
      <c r="E74" s="34">
        <f>D74*$E$84</f>
        <v>15526350</v>
      </c>
    </row>
    <row r="75" spans="1:18" ht="14.4" customHeight="1" x14ac:dyDescent="0.3">
      <c r="A75" s="224"/>
      <c r="B75" s="225" t="s">
        <v>36</v>
      </c>
      <c r="C75" s="23" t="str">
        <f t="shared" si="27"/>
        <v>Berwick Electric Commission</v>
      </c>
      <c r="D75" s="80">
        <v>3.3E-3</v>
      </c>
      <c r="E75" s="34">
        <f>D75*$E$84</f>
        <v>51975</v>
      </c>
    </row>
    <row r="76" spans="1:18" x14ac:dyDescent="0.3">
      <c r="A76" s="224"/>
      <c r="B76" s="225"/>
      <c r="C76" s="23" t="str">
        <f t="shared" si="27"/>
        <v>Riverport Electric Light Commission</v>
      </c>
      <c r="D76" s="80">
        <v>8.0000000000000004E-4</v>
      </c>
      <c r="E76" s="34">
        <f>D76*$E$84</f>
        <v>12600</v>
      </c>
    </row>
    <row r="77" spans="1:18" ht="14.4" customHeight="1" x14ac:dyDescent="0.3">
      <c r="A77" s="224"/>
      <c r="B77" s="225"/>
      <c r="C77" s="23" t="str">
        <f t="shared" si="27"/>
        <v>Town of Mahone Bay</v>
      </c>
      <c r="D77" s="80">
        <v>1.4E-3</v>
      </c>
      <c r="E77" s="34">
        <f>D77*$E$84</f>
        <v>22050</v>
      </c>
    </row>
    <row r="78" spans="1:18" x14ac:dyDescent="0.3">
      <c r="A78" s="224"/>
      <c r="B78" s="21" t="s">
        <v>58</v>
      </c>
      <c r="C78" s="23" t="str">
        <f t="shared" si="27"/>
        <v>Town of Antigonish</v>
      </c>
      <c r="D78" s="80">
        <v>8.6999999999999994E-3</v>
      </c>
      <c r="E78" s="34">
        <f>D78*$E$84</f>
        <v>137025</v>
      </c>
    </row>
    <row r="79" spans="1:18" hidden="1" x14ac:dyDescent="0.3">
      <c r="A79" s="224"/>
      <c r="B79" s="136"/>
      <c r="C79" s="23" t="str">
        <f t="shared" si="27"/>
        <v>Other</v>
      </c>
      <c r="D79" s="80"/>
      <c r="E79" s="34">
        <f t="shared" ref="E79" si="28">D79*$E$84</f>
        <v>0</v>
      </c>
    </row>
    <row r="80" spans="1:18" hidden="1" x14ac:dyDescent="0.3">
      <c r="A80" s="224"/>
      <c r="C80" s="23" t="str">
        <f t="shared" si="27"/>
        <v>Other</v>
      </c>
      <c r="D80" s="80">
        <v>0</v>
      </c>
      <c r="E80" s="34">
        <f>D80*$E$84</f>
        <v>0</v>
      </c>
    </row>
    <row r="81" spans="1:21" hidden="1" x14ac:dyDescent="0.3">
      <c r="A81" s="224"/>
      <c r="C81" s="23" t="str">
        <f t="shared" si="27"/>
        <v>Other</v>
      </c>
      <c r="D81" s="80">
        <v>0</v>
      </c>
      <c r="E81" s="34">
        <f>D81*$E$84</f>
        <v>0</v>
      </c>
    </row>
    <row r="82" spans="1:21" hidden="1" x14ac:dyDescent="0.3">
      <c r="A82" s="224"/>
      <c r="C82" s="23" t="str">
        <f t="shared" si="27"/>
        <v>Other</v>
      </c>
      <c r="D82" s="80">
        <v>0</v>
      </c>
      <c r="E82" s="34">
        <f>D82*$E$84</f>
        <v>0</v>
      </c>
    </row>
    <row r="83" spans="1:21" ht="8.4" customHeight="1" x14ac:dyDescent="0.3">
      <c r="A83" s="224"/>
      <c r="C83" s="23"/>
      <c r="D83" s="3"/>
      <c r="E83" s="29"/>
    </row>
    <row r="84" spans="1:21" ht="15" thickBot="1" x14ac:dyDescent="0.35">
      <c r="A84" s="224"/>
      <c r="C84" s="65" t="str">
        <f>C64</f>
        <v>Total</v>
      </c>
      <c r="D84" s="139">
        <f>SUM(D74:D83)</f>
        <v>1</v>
      </c>
      <c r="E84" s="144">
        <v>15750000</v>
      </c>
    </row>
    <row r="85" spans="1:21" ht="14.4" customHeight="1" x14ac:dyDescent="0.3">
      <c r="A85" s="224"/>
      <c r="D85" s="77"/>
      <c r="E85" s="77"/>
      <c r="N85" s="157"/>
      <c r="O85" s="157"/>
      <c r="P85" s="157"/>
    </row>
    <row r="86" spans="1:21" ht="14.4" customHeight="1" x14ac:dyDescent="0.3">
      <c r="A86" s="224"/>
      <c r="D86" s="228" t="s">
        <v>116</v>
      </c>
      <c r="E86" s="228"/>
      <c r="R86" s="157"/>
      <c r="S86" s="157"/>
      <c r="T86" s="157"/>
      <c r="U86" s="157"/>
    </row>
    <row r="87" spans="1:21" ht="15" customHeight="1" thickBot="1" x14ac:dyDescent="0.35">
      <c r="A87" s="224"/>
      <c r="D87" s="226"/>
      <c r="E87" s="226"/>
      <c r="G87" s="223" t="s">
        <v>73</v>
      </c>
      <c r="H87" s="223"/>
      <c r="J87" s="223" t="s">
        <v>95</v>
      </c>
      <c r="K87" s="223"/>
      <c r="L87" s="223"/>
      <c r="M87" s="223"/>
      <c r="N87" s="223"/>
      <c r="P87" s="226" t="s">
        <v>90</v>
      </c>
      <c r="Q87" s="226"/>
      <c r="R87" s="226"/>
      <c r="S87" s="226"/>
      <c r="T87" s="226"/>
    </row>
    <row r="88" spans="1:21" ht="57.6" x14ac:dyDescent="0.3">
      <c r="A88" s="224"/>
      <c r="C88" s="64"/>
      <c r="D88" s="14" t="s">
        <v>149</v>
      </c>
      <c r="E88" s="16" t="s">
        <v>78</v>
      </c>
      <c r="G88" s="12" t="s">
        <v>143</v>
      </c>
      <c r="H88" s="16" t="s">
        <v>73</v>
      </c>
      <c r="J88" s="12" t="str">
        <f t="shared" ref="J88:J97" si="29">D53</f>
        <v>2027/28 Forecast %</v>
      </c>
      <c r="K88" s="13" t="s">
        <v>110</v>
      </c>
      <c r="L88" s="14" t="s">
        <v>143</v>
      </c>
      <c r="M88" s="13" t="s">
        <v>89</v>
      </c>
      <c r="N88" s="16" t="s">
        <v>88</v>
      </c>
      <c r="P88" s="12" t="str">
        <f t="shared" ref="P88:P97" si="30">E88</f>
        <v>2028/29 Annual Fee Before True-Up</v>
      </c>
      <c r="Q88" s="15" t="str">
        <f t="shared" ref="Q88:Q97" si="31">H88</f>
        <v>2027/28 True-Up</v>
      </c>
      <c r="R88" s="15" t="s">
        <v>88</v>
      </c>
      <c r="S88" s="14" t="s">
        <v>91</v>
      </c>
      <c r="T88" s="16" t="s">
        <v>92</v>
      </c>
    </row>
    <row r="89" spans="1:21" x14ac:dyDescent="0.3">
      <c r="A89" s="224"/>
      <c r="C89" s="23" t="str">
        <f t="shared" ref="C89:D97" si="32">C74</f>
        <v>NSPI</v>
      </c>
      <c r="D89" s="80">
        <f t="shared" si="32"/>
        <v>0.98580000000000001</v>
      </c>
      <c r="E89" s="34">
        <f t="shared" ref="E89:E94" si="33">D89*$E$99</f>
        <v>15526350</v>
      </c>
      <c r="G89" s="167">
        <v>0.98599999999999999</v>
      </c>
      <c r="H89" s="34">
        <f t="shared" ref="H89:H97" si="34">G89*$H$99</f>
        <v>98600</v>
      </c>
      <c r="J89" s="165">
        <f t="shared" si="29"/>
        <v>0.98545129270423104</v>
      </c>
      <c r="K89" s="37">
        <f t="shared" ref="K89:K97" si="35">E54</f>
        <v>15274495.036915582</v>
      </c>
      <c r="L89" s="185">
        <f>G89</f>
        <v>0.98599999999999999</v>
      </c>
      <c r="M89" s="37">
        <f t="shared" ref="M89:M97" si="36">L89*$M$99</f>
        <v>15283000</v>
      </c>
      <c r="N89" s="34">
        <f>M89-K89</f>
        <v>8504.9630844183266</v>
      </c>
      <c r="P89" s="142">
        <f t="shared" si="30"/>
        <v>15526350</v>
      </c>
      <c r="Q89" s="162">
        <f t="shared" si="31"/>
        <v>98600</v>
      </c>
      <c r="R89" s="162">
        <f>N89</f>
        <v>8504.9630844183266</v>
      </c>
      <c r="S89" s="140">
        <f>P89+Q89+R89</f>
        <v>15633454.963084418</v>
      </c>
      <c r="T89" s="34">
        <f t="shared" ref="T89:T97" si="37">S89/12</f>
        <v>1302787.9135903681</v>
      </c>
    </row>
    <row r="90" spans="1:21" x14ac:dyDescent="0.3">
      <c r="A90" s="224"/>
      <c r="B90" s="137" t="s">
        <v>56</v>
      </c>
      <c r="C90" s="23" t="str">
        <f t="shared" si="32"/>
        <v>Berwick Electric Commission</v>
      </c>
      <c r="D90" s="80">
        <f t="shared" si="32"/>
        <v>3.3E-3</v>
      </c>
      <c r="E90" s="34">
        <f t="shared" si="33"/>
        <v>51975</v>
      </c>
      <c r="G90" s="167">
        <v>3.0999999999999999E-3</v>
      </c>
      <c r="H90" s="34">
        <f t="shared" si="34"/>
        <v>310</v>
      </c>
      <c r="J90" s="165">
        <f t="shared" si="29"/>
        <v>3.7573040518662981E-3</v>
      </c>
      <c r="K90" s="37">
        <f t="shared" si="35"/>
        <v>58238.212803927621</v>
      </c>
      <c r="L90" s="185">
        <f t="shared" ref="L90:L97" si="38">G90</f>
        <v>3.0999999999999999E-3</v>
      </c>
      <c r="M90" s="37">
        <f t="shared" si="36"/>
        <v>48050</v>
      </c>
      <c r="N90" s="34">
        <f t="shared" ref="N90:N97" si="39">M90-K90</f>
        <v>-10188.212803927621</v>
      </c>
      <c r="P90" s="142">
        <f t="shared" si="30"/>
        <v>51975</v>
      </c>
      <c r="Q90" s="162">
        <f t="shared" si="31"/>
        <v>310</v>
      </c>
      <c r="R90" s="162">
        <f t="shared" ref="R90:R93" si="40">N90</f>
        <v>-10188.212803927621</v>
      </c>
      <c r="S90" s="140">
        <f t="shared" ref="S90:S97" si="41">P90+Q90+R90</f>
        <v>42096.787196072379</v>
      </c>
      <c r="T90" s="34">
        <f t="shared" si="37"/>
        <v>3508.0655996726982</v>
      </c>
    </row>
    <row r="91" spans="1:21" x14ac:dyDescent="0.3">
      <c r="A91" s="224"/>
      <c r="B91" s="21">
        <v>2028</v>
      </c>
      <c r="C91" s="23" t="str">
        <f t="shared" si="32"/>
        <v>Riverport Electric Light Commission</v>
      </c>
      <c r="D91" s="80">
        <f t="shared" si="32"/>
        <v>8.0000000000000004E-4</v>
      </c>
      <c r="E91" s="34">
        <f t="shared" si="33"/>
        <v>12600</v>
      </c>
      <c r="G91" s="167">
        <v>8.9999999999999998E-4</v>
      </c>
      <c r="H91" s="34">
        <f t="shared" si="34"/>
        <v>90</v>
      </c>
      <c r="J91" s="165">
        <f t="shared" si="29"/>
        <v>8.9659062671776986E-4</v>
      </c>
      <c r="K91" s="37">
        <f t="shared" si="35"/>
        <v>13897.154714125432</v>
      </c>
      <c r="L91" s="185">
        <f t="shared" si="38"/>
        <v>8.9999999999999998E-4</v>
      </c>
      <c r="M91" s="37">
        <f t="shared" si="36"/>
        <v>13950</v>
      </c>
      <c r="N91" s="34">
        <f t="shared" si="39"/>
        <v>52.845285874567708</v>
      </c>
      <c r="P91" s="142">
        <f t="shared" si="30"/>
        <v>12600</v>
      </c>
      <c r="Q91" s="162">
        <f t="shared" si="31"/>
        <v>90</v>
      </c>
      <c r="R91" s="162">
        <f t="shared" si="40"/>
        <v>52.845285874567708</v>
      </c>
      <c r="S91" s="140">
        <f t="shared" si="41"/>
        <v>12742.845285874568</v>
      </c>
      <c r="T91" s="34">
        <f t="shared" si="37"/>
        <v>1061.9037738228806</v>
      </c>
    </row>
    <row r="92" spans="1:21" x14ac:dyDescent="0.3">
      <c r="A92" s="224"/>
      <c r="C92" s="23" t="str">
        <f t="shared" si="32"/>
        <v>Town of Mahone Bay</v>
      </c>
      <c r="D92" s="80">
        <f t="shared" si="32"/>
        <v>1.4E-3</v>
      </c>
      <c r="E92" s="34">
        <f t="shared" si="33"/>
        <v>22050</v>
      </c>
      <c r="G92" s="167">
        <v>1.5E-3</v>
      </c>
      <c r="H92" s="34">
        <f t="shared" si="34"/>
        <v>150</v>
      </c>
      <c r="J92" s="165">
        <f t="shared" si="29"/>
        <v>1.3765992673358282E-3</v>
      </c>
      <c r="K92" s="37">
        <f t="shared" si="35"/>
        <v>21337.288643705338</v>
      </c>
      <c r="L92" s="185">
        <f t="shared" si="38"/>
        <v>1.5E-3</v>
      </c>
      <c r="M92" s="37">
        <f t="shared" si="36"/>
        <v>23250</v>
      </c>
      <c r="N92" s="34">
        <f t="shared" si="39"/>
        <v>1912.7113562946615</v>
      </c>
      <c r="P92" s="142">
        <f t="shared" si="30"/>
        <v>22050</v>
      </c>
      <c r="Q92" s="162">
        <f t="shared" si="31"/>
        <v>150</v>
      </c>
      <c r="R92" s="162">
        <f t="shared" si="40"/>
        <v>1912.7113562946615</v>
      </c>
      <c r="S92" s="140">
        <f t="shared" si="41"/>
        <v>24112.711356294662</v>
      </c>
      <c r="T92" s="34">
        <f t="shared" si="37"/>
        <v>2009.3926130245552</v>
      </c>
    </row>
    <row r="93" spans="1:21" x14ac:dyDescent="0.3">
      <c r="A93" s="224"/>
      <c r="C93" s="23" t="str">
        <f t="shared" si="32"/>
        <v>Town of Antigonish</v>
      </c>
      <c r="D93" s="80">
        <f t="shared" si="32"/>
        <v>8.6999999999999994E-3</v>
      </c>
      <c r="E93" s="34">
        <f t="shared" si="33"/>
        <v>137025</v>
      </c>
      <c r="G93" s="167">
        <v>8.5000000000000006E-3</v>
      </c>
      <c r="H93" s="34">
        <f t="shared" si="34"/>
        <v>850.00000000000011</v>
      </c>
      <c r="J93" s="165">
        <f t="shared" si="29"/>
        <v>8.5182133498490249E-3</v>
      </c>
      <c r="K93" s="37">
        <f t="shared" si="35"/>
        <v>132032.30692265989</v>
      </c>
      <c r="L93" s="185">
        <f t="shared" si="38"/>
        <v>8.5000000000000006E-3</v>
      </c>
      <c r="M93" s="37">
        <f t="shared" si="36"/>
        <v>131750</v>
      </c>
      <c r="N93" s="34">
        <f t="shared" si="39"/>
        <v>-282.3069226598891</v>
      </c>
      <c r="P93" s="142">
        <f t="shared" si="30"/>
        <v>137025</v>
      </c>
      <c r="Q93" s="162">
        <f t="shared" si="31"/>
        <v>850.00000000000011</v>
      </c>
      <c r="R93" s="162">
        <f t="shared" si="40"/>
        <v>-282.3069226598891</v>
      </c>
      <c r="S93" s="140">
        <f t="shared" si="41"/>
        <v>137592.69307734011</v>
      </c>
      <c r="T93" s="34">
        <f t="shared" si="37"/>
        <v>11466.057756445009</v>
      </c>
    </row>
    <row r="94" spans="1:21" hidden="1" x14ac:dyDescent="0.3">
      <c r="A94" s="224"/>
      <c r="C94" s="23" t="str">
        <f t="shared" si="32"/>
        <v>Other</v>
      </c>
      <c r="D94" s="132">
        <f t="shared" si="32"/>
        <v>0</v>
      </c>
      <c r="E94" s="34">
        <f t="shared" si="33"/>
        <v>0</v>
      </c>
      <c r="G94" s="167">
        <v>0</v>
      </c>
      <c r="H94" s="34">
        <f t="shared" si="34"/>
        <v>0</v>
      </c>
      <c r="J94" s="165">
        <f t="shared" si="29"/>
        <v>0</v>
      </c>
      <c r="K94" s="37">
        <f t="shared" si="35"/>
        <v>0</v>
      </c>
      <c r="L94" s="141">
        <f t="shared" si="38"/>
        <v>0</v>
      </c>
      <c r="M94" s="37">
        <f t="shared" si="36"/>
        <v>0</v>
      </c>
      <c r="N94" s="34">
        <f t="shared" si="39"/>
        <v>0</v>
      </c>
      <c r="P94" s="142">
        <f t="shared" si="30"/>
        <v>0</v>
      </c>
      <c r="Q94" s="162">
        <f t="shared" si="31"/>
        <v>0</v>
      </c>
      <c r="R94" s="162"/>
      <c r="S94" s="140">
        <f t="shared" si="41"/>
        <v>0</v>
      </c>
      <c r="T94" s="34">
        <f t="shared" si="37"/>
        <v>0</v>
      </c>
    </row>
    <row r="95" spans="1:21" hidden="1" x14ac:dyDescent="0.3">
      <c r="A95" s="224"/>
      <c r="C95" s="23" t="str">
        <f t="shared" si="32"/>
        <v>Other</v>
      </c>
      <c r="D95" s="132">
        <f t="shared" si="32"/>
        <v>0</v>
      </c>
      <c r="E95" s="34">
        <f>D95*$E$64</f>
        <v>0</v>
      </c>
      <c r="G95" s="167">
        <v>0</v>
      </c>
      <c r="H95" s="34">
        <f t="shared" si="34"/>
        <v>0</v>
      </c>
      <c r="J95" s="165">
        <f t="shared" si="29"/>
        <v>0</v>
      </c>
      <c r="K95" s="37">
        <f t="shared" si="35"/>
        <v>0</v>
      </c>
      <c r="L95" s="141">
        <f t="shared" si="38"/>
        <v>0</v>
      </c>
      <c r="M95" s="37">
        <f t="shared" si="36"/>
        <v>0</v>
      </c>
      <c r="N95" s="34">
        <f t="shared" si="39"/>
        <v>0</v>
      </c>
      <c r="P95" s="142">
        <f t="shared" si="30"/>
        <v>0</v>
      </c>
      <c r="Q95" s="162">
        <f t="shared" si="31"/>
        <v>0</v>
      </c>
      <c r="R95" s="162"/>
      <c r="S95" s="140">
        <f t="shared" si="41"/>
        <v>0</v>
      </c>
      <c r="T95" s="34">
        <f t="shared" si="37"/>
        <v>0</v>
      </c>
    </row>
    <row r="96" spans="1:21" hidden="1" x14ac:dyDescent="0.3">
      <c r="A96" s="224"/>
      <c r="C96" s="23" t="str">
        <f t="shared" si="32"/>
        <v>Other</v>
      </c>
      <c r="D96" s="132">
        <f t="shared" si="32"/>
        <v>0</v>
      </c>
      <c r="E96" s="34">
        <f>D96*$E$64</f>
        <v>0</v>
      </c>
      <c r="G96" s="167">
        <v>0</v>
      </c>
      <c r="H96" s="34">
        <f t="shared" si="34"/>
        <v>0</v>
      </c>
      <c r="J96" s="165">
        <f t="shared" si="29"/>
        <v>0</v>
      </c>
      <c r="K96" s="37">
        <f t="shared" si="35"/>
        <v>0</v>
      </c>
      <c r="L96" s="141">
        <f t="shared" si="38"/>
        <v>0</v>
      </c>
      <c r="M96" s="37">
        <f t="shared" si="36"/>
        <v>0</v>
      </c>
      <c r="N96" s="34">
        <f t="shared" si="39"/>
        <v>0</v>
      </c>
      <c r="P96" s="142">
        <f t="shared" si="30"/>
        <v>0</v>
      </c>
      <c r="Q96" s="162">
        <f t="shared" si="31"/>
        <v>0</v>
      </c>
      <c r="R96" s="162"/>
      <c r="S96" s="140">
        <f t="shared" si="41"/>
        <v>0</v>
      </c>
      <c r="T96" s="34">
        <f t="shared" si="37"/>
        <v>0</v>
      </c>
    </row>
    <row r="97" spans="1:20" hidden="1" x14ac:dyDescent="0.3">
      <c r="A97" s="224"/>
      <c r="C97" s="23" t="str">
        <f t="shared" si="32"/>
        <v>Other</v>
      </c>
      <c r="D97" s="132">
        <f t="shared" si="32"/>
        <v>0</v>
      </c>
      <c r="E97" s="34">
        <f>D97*$E$64</f>
        <v>0</v>
      </c>
      <c r="G97" s="167">
        <v>0</v>
      </c>
      <c r="H97" s="34">
        <f t="shared" si="34"/>
        <v>0</v>
      </c>
      <c r="J97" s="165">
        <f t="shared" si="29"/>
        <v>0</v>
      </c>
      <c r="K97" s="37">
        <f t="shared" si="35"/>
        <v>0</v>
      </c>
      <c r="L97" s="141">
        <f t="shared" si="38"/>
        <v>0</v>
      </c>
      <c r="M97" s="37">
        <f t="shared" si="36"/>
        <v>0</v>
      </c>
      <c r="N97" s="34">
        <f t="shared" si="39"/>
        <v>0</v>
      </c>
      <c r="P97" s="142">
        <f t="shared" si="30"/>
        <v>0</v>
      </c>
      <c r="Q97" s="162">
        <f t="shared" si="31"/>
        <v>0</v>
      </c>
      <c r="R97" s="162"/>
      <c r="S97" s="140">
        <f t="shared" si="41"/>
        <v>0</v>
      </c>
      <c r="T97" s="34">
        <f t="shared" si="37"/>
        <v>0</v>
      </c>
    </row>
    <row r="98" spans="1:20" ht="8.4" customHeight="1" x14ac:dyDescent="0.3">
      <c r="A98" s="224"/>
      <c r="C98" s="23"/>
      <c r="D98" s="3"/>
      <c r="E98" s="34"/>
      <c r="G98" s="138"/>
      <c r="H98" s="34"/>
      <c r="J98" s="165"/>
      <c r="K98" s="37"/>
      <c r="L98" s="141"/>
      <c r="M98" s="37"/>
      <c r="N98" s="34"/>
      <c r="P98" s="23"/>
      <c r="S98" s="140"/>
      <c r="T98" s="29"/>
    </row>
    <row r="99" spans="1:20" ht="15" thickBot="1" x14ac:dyDescent="0.35">
      <c r="A99" s="224"/>
      <c r="C99" s="65" t="str">
        <f>C84</f>
        <v>Total</v>
      </c>
      <c r="D99" s="139">
        <f>SUM(D89:D98)</f>
        <v>1</v>
      </c>
      <c r="E99" s="27">
        <f>E84</f>
        <v>15750000</v>
      </c>
      <c r="G99" s="158">
        <f>SUM(G89:G98)</f>
        <v>0.99999999999999989</v>
      </c>
      <c r="H99" s="36">
        <f>E103</f>
        <v>100000</v>
      </c>
      <c r="J99" s="166">
        <f>SUM(J89:J98)</f>
        <v>0.99999999999999989</v>
      </c>
      <c r="K99" s="70">
        <f>SUM(K89:K98)</f>
        <v>15500000</v>
      </c>
      <c r="L99" s="139">
        <f>SUM(L89:L98)</f>
        <v>0.99999999999999989</v>
      </c>
      <c r="M99" s="131">
        <f>K99</f>
        <v>15500000</v>
      </c>
      <c r="N99" s="36">
        <f>SUM(N89:N98)</f>
        <v>4.5474735088646412E-11</v>
      </c>
      <c r="P99" s="41">
        <f>E99</f>
        <v>15750000</v>
      </c>
      <c r="Q99" s="160">
        <f>SUM(Q89:Q97)</f>
        <v>100000</v>
      </c>
      <c r="R99" s="160">
        <f>SUM(R89:R98)</f>
        <v>4.5474735088646412E-11</v>
      </c>
      <c r="S99" s="51">
        <f>SUM(S89:S97)</f>
        <v>15850000</v>
      </c>
      <c r="T99" s="27">
        <f>SUM(T89:T97)</f>
        <v>1320833.333333333</v>
      </c>
    </row>
    <row r="100" spans="1:20" ht="15" thickBot="1" x14ac:dyDescent="0.35">
      <c r="G100" s="77"/>
      <c r="I100" s="77"/>
    </row>
    <row r="101" spans="1:20" ht="14.4" customHeight="1" x14ac:dyDescent="0.3">
      <c r="C101" s="168"/>
      <c r="D101" s="169" t="s">
        <v>105</v>
      </c>
      <c r="E101" s="173">
        <f>E49</f>
        <v>15500000</v>
      </c>
      <c r="G101" s="227" t="s">
        <v>142</v>
      </c>
      <c r="H101" s="227"/>
      <c r="I101" s="163"/>
      <c r="J101" s="227" t="s">
        <v>147</v>
      </c>
      <c r="K101" s="227"/>
      <c r="L101" s="227"/>
      <c r="M101" s="227"/>
      <c r="N101" s="227"/>
      <c r="S101" s="5"/>
    </row>
    <row r="102" spans="1:20" x14ac:dyDescent="0.3">
      <c r="C102" s="23"/>
      <c r="D102" s="170" t="s">
        <v>106</v>
      </c>
      <c r="E102" s="174">
        <v>15600000</v>
      </c>
      <c r="G102" s="227"/>
      <c r="H102" s="227"/>
      <c r="I102" s="163"/>
      <c r="J102" s="227"/>
      <c r="K102" s="227"/>
      <c r="L102" s="227"/>
      <c r="M102" s="227"/>
      <c r="N102" s="227"/>
    </row>
    <row r="103" spans="1:20" ht="15" thickBot="1" x14ac:dyDescent="0.35">
      <c r="C103" s="24"/>
      <c r="D103" s="172" t="s">
        <v>107</v>
      </c>
      <c r="E103" s="36">
        <f>E102-E101</f>
        <v>100000</v>
      </c>
      <c r="G103" s="227"/>
      <c r="H103" s="227"/>
      <c r="I103" s="163"/>
      <c r="J103" s="227"/>
      <c r="K103" s="227"/>
      <c r="L103" s="227"/>
      <c r="M103" s="227"/>
      <c r="N103" s="227"/>
    </row>
    <row r="104" spans="1:20" x14ac:dyDescent="0.3">
      <c r="C104" s="21"/>
      <c r="D104" s="21"/>
      <c r="E104" s="21"/>
      <c r="F104" s="21"/>
      <c r="G104" s="227"/>
      <c r="H104" s="227"/>
      <c r="I104" s="163"/>
      <c r="J104" s="161"/>
      <c r="K104" s="161"/>
      <c r="L104" s="161"/>
      <c r="M104" s="161"/>
      <c r="N104" s="161"/>
    </row>
    <row r="105" spans="1:20" s="26" customFormat="1" ht="15" thickBot="1" x14ac:dyDescent="0.35">
      <c r="A105" s="130"/>
      <c r="B105" s="130"/>
      <c r="C105" s="130"/>
      <c r="D105" s="130"/>
      <c r="E105" s="130"/>
      <c r="F105" s="130"/>
      <c r="G105" s="135"/>
      <c r="I105" s="135"/>
    </row>
    <row r="108" spans="1:20" x14ac:dyDescent="0.3">
      <c r="D108" s="162"/>
      <c r="E108" s="162"/>
      <c r="F108" s="162"/>
      <c r="G108" s="162"/>
      <c r="H108" s="162"/>
      <c r="I108" s="162"/>
      <c r="J108" s="162"/>
      <c r="L108" s="162"/>
      <c r="M108" s="162"/>
      <c r="N108" s="162"/>
      <c r="O108" s="162"/>
    </row>
    <row r="109" spans="1:20" x14ac:dyDescent="0.3">
      <c r="D109" s="162"/>
      <c r="E109" s="162"/>
      <c r="F109" s="162"/>
      <c r="G109" s="162"/>
      <c r="H109" s="162"/>
      <c r="I109" s="162"/>
      <c r="J109" s="162"/>
      <c r="L109" s="162"/>
      <c r="M109" s="162"/>
      <c r="N109" s="162"/>
      <c r="O109" s="162"/>
    </row>
    <row r="110" spans="1:20" x14ac:dyDescent="0.3">
      <c r="D110" s="162"/>
      <c r="E110" s="162"/>
      <c r="F110" s="162"/>
      <c r="G110" s="162"/>
      <c r="H110" s="162"/>
      <c r="I110" s="162"/>
      <c r="J110" s="162"/>
    </row>
    <row r="111" spans="1:20" x14ac:dyDescent="0.3">
      <c r="D111" s="162"/>
      <c r="E111" s="162"/>
      <c r="F111" s="162"/>
      <c r="G111" s="162"/>
      <c r="H111" s="162"/>
      <c r="I111" s="162"/>
      <c r="J111" s="162"/>
    </row>
    <row r="112" spans="1:20" x14ac:dyDescent="0.3">
      <c r="D112" s="162"/>
      <c r="E112" s="162"/>
      <c r="F112" s="162"/>
      <c r="G112" s="162"/>
      <c r="H112" s="162"/>
      <c r="I112" s="162"/>
      <c r="J112" s="162"/>
    </row>
    <row r="113" spans="4:10" x14ac:dyDescent="0.3">
      <c r="D113" s="162"/>
      <c r="E113" s="162"/>
      <c r="F113" s="162"/>
      <c r="G113" s="162"/>
      <c r="H113" s="162"/>
      <c r="I113" s="162"/>
      <c r="J113" s="162"/>
    </row>
    <row r="114" spans="4:10" x14ac:dyDescent="0.3">
      <c r="D114" s="162"/>
      <c r="E114" s="162"/>
      <c r="F114" s="162"/>
      <c r="G114" s="162"/>
      <c r="H114" s="162"/>
      <c r="I114" s="162"/>
      <c r="J114" s="162"/>
    </row>
    <row r="115" spans="4:10" x14ac:dyDescent="0.3">
      <c r="D115" s="162"/>
      <c r="E115" s="162"/>
      <c r="F115" s="162"/>
      <c r="G115" s="162"/>
      <c r="H115" s="162"/>
      <c r="I115" s="162"/>
      <c r="J115" s="162"/>
    </row>
    <row r="116" spans="4:10" x14ac:dyDescent="0.3">
      <c r="D116" s="162"/>
      <c r="E116" s="162"/>
      <c r="F116" s="162"/>
      <c r="G116" s="162"/>
      <c r="H116" s="162"/>
      <c r="I116" s="162"/>
      <c r="J116" s="162"/>
    </row>
    <row r="117" spans="4:10" x14ac:dyDescent="0.3">
      <c r="D117" s="162"/>
      <c r="E117" s="162"/>
      <c r="F117" s="162"/>
      <c r="G117" s="162"/>
      <c r="H117" s="162"/>
      <c r="I117" s="162"/>
      <c r="J117" s="162"/>
    </row>
    <row r="118" spans="4:10" x14ac:dyDescent="0.3">
      <c r="D118" s="162"/>
      <c r="E118" s="162"/>
      <c r="F118" s="162"/>
      <c r="G118" s="162"/>
      <c r="H118" s="162"/>
      <c r="I118" s="162"/>
      <c r="J118" s="162"/>
    </row>
  </sheetData>
  <mergeCells count="26">
    <mergeCell ref="A4:A33"/>
    <mergeCell ref="D17:E17"/>
    <mergeCell ref="J101:N103"/>
    <mergeCell ref="G101:H104"/>
    <mergeCell ref="D3:E3"/>
    <mergeCell ref="B6:B8"/>
    <mergeCell ref="D37:E37"/>
    <mergeCell ref="G17:H17"/>
    <mergeCell ref="G31:H34"/>
    <mergeCell ref="J31:K34"/>
    <mergeCell ref="J17:M17"/>
    <mergeCell ref="A72:A99"/>
    <mergeCell ref="D72:E72"/>
    <mergeCell ref="B75:B77"/>
    <mergeCell ref="D86:E87"/>
    <mergeCell ref="A38:A64"/>
    <mergeCell ref="B40:B42"/>
    <mergeCell ref="D51:E52"/>
    <mergeCell ref="P52:T52"/>
    <mergeCell ref="P87:T87"/>
    <mergeCell ref="J66:N68"/>
    <mergeCell ref="G52:H52"/>
    <mergeCell ref="G87:H87"/>
    <mergeCell ref="J87:N87"/>
    <mergeCell ref="J52:N52"/>
    <mergeCell ref="G66:H6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621B19EE7E243815A3A48D82F9BD5" ma:contentTypeVersion="6" ma:contentTypeDescription="Create a new document." ma:contentTypeScope="" ma:versionID="0836d90bc6e8a568477b66a4e63060a9">
  <xsd:schema xmlns:xsd="http://www.w3.org/2001/XMLSchema" xmlns:xs="http://www.w3.org/2001/XMLSchema" xmlns:p="http://schemas.microsoft.com/office/2006/metadata/properties" xmlns:ns2="1d97d024-e462-4dd4-9c2b-27af09bf8f6c" xmlns:ns3="a45ee846-0459-4f58-b07a-f3bdc79222ad" targetNamespace="http://schemas.microsoft.com/office/2006/metadata/properties" ma:root="true" ma:fieldsID="9849c57da0457f0db7055e8023f1dbfd" ns2:_="" ns3:_="">
    <xsd:import namespace="1d97d024-e462-4dd4-9c2b-27af09bf8f6c"/>
    <xsd:import namespace="a45ee846-0459-4f58-b07a-f3bdc79222ad"/>
    <xsd:element name="properties">
      <xsd:complexType>
        <xsd:sequence>
          <xsd:element name="documentManagement">
            <xsd:complexType>
              <xsd:all>
                <xsd:element ref="ns2:Data_x0020_Classific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Summa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7d024-e462-4dd4-9c2b-27af09bf8f6c" elementFormDefault="qualified">
    <xsd:import namespace="http://schemas.microsoft.com/office/2006/documentManagement/types"/>
    <xsd:import namespace="http://schemas.microsoft.com/office/infopath/2007/PartnerControls"/>
    <xsd:element name="Data_x0020_Classification" ma:index="8" nillable="true" ma:displayName="Data Classification" ma:format="Dropdown" ma:internalName="Data_x0020_Classification">
      <xsd:simpleType>
        <xsd:restriction base="dms:Choice">
          <xsd:enumeration value="Public"/>
          <xsd:enumeration value="Internal Use Only"/>
          <xsd:enumeration value="Confidential"/>
          <xsd:enumeration value="Highly Confident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e846-0459-4f58-b07a-f3bdc7922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mmary" ma:index="12" nillable="true" ma:displayName="Status" ma:format="Dropdown" ma:internalName="Summary">
      <xsd:simpleType>
        <xsd:restriction base="dms:Choice">
          <xsd:enumeration value="Draft"/>
          <xsd:enumeration value="For Review"/>
          <xsd:enumeration value="JJ Review"/>
          <xsd:enumeration value="Formatting"/>
          <xsd:enumeration value="Finaliz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Classification xmlns="1d97d024-e462-4dd4-9c2b-27af09bf8f6c" xsi:nil="true"/>
    <Summary xmlns="a45ee846-0459-4f58-b07a-f3bdc79222ad" xsi:nil="true"/>
  </documentManagement>
</p:properties>
</file>

<file path=customXml/itemProps1.xml><?xml version="1.0" encoding="utf-8"?>
<ds:datastoreItem xmlns:ds="http://schemas.openxmlformats.org/officeDocument/2006/customXml" ds:itemID="{1E0A4D7C-7C09-414D-BA41-8A74F97A4BD4}"/>
</file>

<file path=customXml/itemProps2.xml><?xml version="1.0" encoding="utf-8"?>
<ds:datastoreItem xmlns:ds="http://schemas.openxmlformats.org/officeDocument/2006/customXml" ds:itemID="{AC60430D-75A8-4EEE-91BB-07D4CBF69C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AD321-A0E2-4A48-8D69-2FBE6C34F979}">
  <ds:schemaRefs>
    <ds:schemaRef ds:uri="a45ee846-0459-4f58-b07a-f3bdc79222a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1d97d024-e462-4dd4-9c2b-27af09bf8f6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</vt:lpstr>
      <vt:lpstr>Initial Fee Calculation</vt:lpstr>
      <vt:lpstr>Fee Recovery Calculation</vt:lpstr>
      <vt:lpstr>Fee Recovery Calculation by MP</vt:lpstr>
      <vt:lpstr>Fee Recovery by MP w True-Up </vt:lpstr>
      <vt:lpstr>Illust. True-Up (2 year lag)</vt:lpstr>
      <vt:lpstr>Illust. True-Up (Compliance)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Andrew Blair</cp:lastModifiedBy>
  <dcterms:created xsi:type="dcterms:W3CDTF">2026-06-15T21:40:35Z</dcterms:created>
  <dcterms:modified xsi:type="dcterms:W3CDTF">2026-07-31T15:51:44Z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0x01010006B621B19EE7E243815A3A48D82F9BD5</vt:lpwstr>
  </property>
  <property fmtid="{D5CDD505-2E9C-101B-9397-08002B2CF9AE}" pid="3" name="MSIP_Label_7bda8df4-51d0-4f38-b084-f675c868fb89_Enabled">
    <vt:lpwstr>true</vt:lpwstr>
  </property>
  <property fmtid="{D5CDD505-2E9C-101B-9397-08002B2CF9AE}" pid="4" name="MSIP_Label_7bda8df4-51d0-4f38-b084-f675c868fb89_SetDate">
    <vt:lpwstr>2026-07-03T16:42:07Z</vt:lpwstr>
  </property>
  <property fmtid="{D5CDD505-2E9C-101B-9397-08002B2CF9AE}" pid="5" name="MSIP_Label_7bda8df4-51d0-4f38-b084-f675c868fb89_Method">
    <vt:lpwstr>Standard</vt:lpwstr>
  </property>
  <property fmtid="{D5CDD505-2E9C-101B-9397-08002B2CF9AE}" pid="6" name="MSIP_Label_7bda8df4-51d0-4f38-b084-f675c868fb89_Name">
    <vt:lpwstr>IPP - Internal Use Only</vt:lpwstr>
  </property>
  <property fmtid="{D5CDD505-2E9C-101B-9397-08002B2CF9AE}" pid="7" name="MSIP_Label_7bda8df4-51d0-4f38-b084-f675c868fb89_SiteId">
    <vt:lpwstr>e10aa4b9-b4bd-43c3-a9d6-29280fe1d5f9</vt:lpwstr>
  </property>
  <property fmtid="{D5CDD505-2E9C-101B-9397-08002B2CF9AE}" pid="8" name="MSIP_Label_7bda8df4-51d0-4f38-b084-f675c868fb89_ActionId">
    <vt:lpwstr>b3da6410-a4ca-4bb6-8235-f9a8f80e619b</vt:lpwstr>
  </property>
  <property fmtid="{D5CDD505-2E9C-101B-9397-08002B2CF9AE}" pid="9" name="MSIP_Label_7bda8df4-51d0-4f38-b084-f675c868fb89_ContentBits">
    <vt:lpwstr>0</vt:lpwstr>
  </property>
  <property fmtid="{D5CDD505-2E9C-101B-9397-08002B2CF9AE}" pid="10" name="MSIP_Label_7bda8df4-51d0-4f38-b084-f675c868fb89_Tag">
    <vt:lpwstr>10, 3, 0, 1</vt:lpwstr>
  </property>
</Properties>
</file>