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nsieso.sharepoint.com/sites/RiskCompliance/Fee Recovery Mechanism IR Responses/"/>
    </mc:Choice>
  </mc:AlternateContent>
  <xr:revisionPtr revIDLastSave="114" documentId="8_{B76781BD-DA2C-4206-8D86-EA5AA01186C6}" xr6:coauthVersionLast="47" xr6:coauthVersionMax="47" xr10:uidLastSave="{9EB48C0C-4893-4206-8E28-060749211597}"/>
  <bookViews>
    <workbookView xWindow="-120" yWindow="-120" windowWidth="29040" windowHeight="15720" xr2:uid="{8B3DFFE6-F816-47D4-9B0E-41DDA60DF357}"/>
  </bookViews>
  <sheets>
    <sheet name="Fee Impact" sheetId="1" r:id="rId1"/>
    <sheet name="Bill Impacts" sheetId="2" r:id="rId2"/>
    <sheet name="Bill Impacts (detailed)" sheetId="3" r:id="rId3"/>
  </sheets>
  <definedNames>
    <definedName name="_xlnm._FilterDatabase" localSheetId="2" hidden="1">'Bill Impacts (detailed)'!$A$3:$H$413</definedName>
    <definedName name="_Key1" hidden="1">#REF!</definedName>
    <definedName name="_Order1" hidden="1">255</definedName>
    <definedName name="_Sort" hidden="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39993.5445601852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2">'Bill Impacts (detailed)'!$A$1:$N$474</definedName>
    <definedName name="sencount" hidden="1">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L25" i="3"/>
  <c r="K25" i="3"/>
  <c r="F6" i="3"/>
  <c r="G6" i="3"/>
  <c r="K6" i="3"/>
  <c r="L6" i="3"/>
  <c r="M6" i="3" s="1"/>
  <c r="M28" i="3" s="1"/>
  <c r="F9" i="3"/>
  <c r="G9" i="3"/>
  <c r="K9" i="3"/>
  <c r="L9" i="3"/>
  <c r="L11" i="3" s="1"/>
  <c r="F10" i="3"/>
  <c r="F11" i="3" s="1"/>
  <c r="G10" i="3"/>
  <c r="I10" i="3"/>
  <c r="K10" i="3"/>
  <c r="L10" i="3"/>
  <c r="M10" i="3"/>
  <c r="D11" i="3"/>
  <c r="E11" i="3"/>
  <c r="G11" i="3"/>
  <c r="F13" i="3"/>
  <c r="G13" i="3"/>
  <c r="I13" i="3"/>
  <c r="K13" i="3" s="1"/>
  <c r="F14" i="3"/>
  <c r="F15" i="3" s="1"/>
  <c r="G14" i="3"/>
  <c r="I14" i="3"/>
  <c r="D15" i="3"/>
  <c r="G15" i="3" s="1"/>
  <c r="E15" i="3"/>
  <c r="F17" i="3"/>
  <c r="G17" i="3"/>
  <c r="F18" i="3"/>
  <c r="G18" i="3"/>
  <c r="D19" i="3"/>
  <c r="E19" i="3"/>
  <c r="F19" i="3"/>
  <c r="G19" i="3"/>
  <c r="F21" i="3"/>
  <c r="G21" i="3"/>
  <c r="E23" i="3"/>
  <c r="D24" i="3"/>
  <c r="E24" i="3"/>
  <c r="G24" i="3" s="1"/>
  <c r="F24" i="3"/>
  <c r="K28" i="3"/>
  <c r="F35" i="3"/>
  <c r="G35" i="3"/>
  <c r="K35" i="3"/>
  <c r="L35" i="3"/>
  <c r="M35" i="3" s="1"/>
  <c r="F39" i="3"/>
  <c r="G39" i="3"/>
  <c r="K39" i="3"/>
  <c r="L39" i="3"/>
  <c r="M39" i="3"/>
  <c r="F40" i="3"/>
  <c r="G40" i="3"/>
  <c r="I40" i="3"/>
  <c r="K40" i="3"/>
  <c r="L40" i="3"/>
  <c r="M40" i="3" s="1"/>
  <c r="D41" i="3"/>
  <c r="E41" i="3"/>
  <c r="F41" i="3" s="1"/>
  <c r="F55" i="3" s="1"/>
  <c r="L41" i="3"/>
  <c r="G42" i="3"/>
  <c r="F43" i="3"/>
  <c r="G43" i="3"/>
  <c r="I43" i="3"/>
  <c r="K43" i="3"/>
  <c r="L43" i="3"/>
  <c r="M43" i="3" s="1"/>
  <c r="F44" i="3"/>
  <c r="G44" i="3"/>
  <c r="I44" i="3"/>
  <c r="I47" i="3" s="1"/>
  <c r="D45" i="3"/>
  <c r="E45" i="3"/>
  <c r="E53" i="3" s="1"/>
  <c r="F45" i="3"/>
  <c r="G45" i="3"/>
  <c r="F47" i="3"/>
  <c r="F49" i="3" s="1"/>
  <c r="G47" i="3"/>
  <c r="F48" i="3"/>
  <c r="G48" i="3"/>
  <c r="D49" i="3"/>
  <c r="D54" i="3" s="1"/>
  <c r="E49" i="3"/>
  <c r="G49" i="3" s="1"/>
  <c r="F51" i="3"/>
  <c r="G51" i="3"/>
  <c r="D53" i="3"/>
  <c r="E58" i="3"/>
  <c r="F58" i="3" s="1"/>
  <c r="K58" i="3"/>
  <c r="L58" i="3"/>
  <c r="L60" i="3" s="1"/>
  <c r="F59" i="3"/>
  <c r="G59" i="3"/>
  <c r="I59" i="3"/>
  <c r="I62" i="3" s="1"/>
  <c r="K59" i="3"/>
  <c r="K60" i="3" s="1"/>
  <c r="L59" i="3"/>
  <c r="M59" i="3"/>
  <c r="D60" i="3"/>
  <c r="E60" i="3"/>
  <c r="F60" i="3" s="1"/>
  <c r="G60" i="3"/>
  <c r="E62" i="3"/>
  <c r="E64" i="3" s="1"/>
  <c r="F62" i="3"/>
  <c r="G62" i="3"/>
  <c r="E63" i="3"/>
  <c r="F63" i="3"/>
  <c r="G63" i="3"/>
  <c r="D64" i="3"/>
  <c r="E66" i="3"/>
  <c r="E68" i="3" s="1"/>
  <c r="F66" i="3"/>
  <c r="F68" i="3" s="1"/>
  <c r="G66" i="3"/>
  <c r="E67" i="3"/>
  <c r="F67" i="3"/>
  <c r="G67" i="3"/>
  <c r="D68" i="3"/>
  <c r="D73" i="3" s="1"/>
  <c r="E70" i="3"/>
  <c r="G70" i="3" s="1"/>
  <c r="F70" i="3"/>
  <c r="D72" i="3"/>
  <c r="K78" i="3"/>
  <c r="L78" i="3"/>
  <c r="C9" i="2" s="1"/>
  <c r="F85" i="3"/>
  <c r="G85" i="3"/>
  <c r="K85" i="3"/>
  <c r="L85" i="3"/>
  <c r="M85" i="3"/>
  <c r="M134" i="3" s="1"/>
  <c r="F87" i="3"/>
  <c r="G87" i="3"/>
  <c r="F91" i="3"/>
  <c r="G91" i="3"/>
  <c r="I91" i="3"/>
  <c r="K91" i="3" s="1"/>
  <c r="L91" i="3"/>
  <c r="M91" i="3" s="1"/>
  <c r="F92" i="3"/>
  <c r="G92" i="3"/>
  <c r="D93" i="3"/>
  <c r="E93" i="3"/>
  <c r="F95" i="3"/>
  <c r="G95" i="3"/>
  <c r="F96" i="3"/>
  <c r="G96" i="3"/>
  <c r="D97" i="3"/>
  <c r="G97" i="3" s="1"/>
  <c r="E97" i="3"/>
  <c r="F97" i="3"/>
  <c r="F99" i="3"/>
  <c r="F101" i="3" s="1"/>
  <c r="G99" i="3"/>
  <c r="F100" i="3"/>
  <c r="G100" i="3"/>
  <c r="D101" i="3"/>
  <c r="G101" i="3" s="1"/>
  <c r="E101" i="3"/>
  <c r="F103" i="3"/>
  <c r="G103" i="3"/>
  <c r="E105" i="3"/>
  <c r="E106" i="3"/>
  <c r="E107" i="3"/>
  <c r="E110" i="3"/>
  <c r="E124" i="3" s="1"/>
  <c r="K110" i="3"/>
  <c r="F111" i="3"/>
  <c r="G111" i="3"/>
  <c r="I111" i="3"/>
  <c r="K111" i="3" s="1"/>
  <c r="L111" i="3"/>
  <c r="M111" i="3" s="1"/>
  <c r="D112" i="3"/>
  <c r="E114" i="3"/>
  <c r="E116" i="3" s="1"/>
  <c r="F114" i="3"/>
  <c r="G114" i="3"/>
  <c r="I114" i="3"/>
  <c r="E115" i="3"/>
  <c r="F115" i="3" s="1"/>
  <c r="D116" i="3"/>
  <c r="E118" i="3"/>
  <c r="G118" i="3"/>
  <c r="E119" i="3"/>
  <c r="D120" i="3"/>
  <c r="D125" i="3" s="1"/>
  <c r="D126" i="3" s="1"/>
  <c r="E122" i="3"/>
  <c r="F122" i="3" s="1"/>
  <c r="G122" i="3"/>
  <c r="D124" i="3"/>
  <c r="K134" i="3"/>
  <c r="L134" i="3"/>
  <c r="F142" i="3"/>
  <c r="G142" i="3"/>
  <c r="K142" i="3"/>
  <c r="K165" i="3" s="1"/>
  <c r="L142" i="3"/>
  <c r="M142" i="3"/>
  <c r="M165" i="3" s="1"/>
  <c r="G144" i="3"/>
  <c r="F147" i="3"/>
  <c r="G147" i="3"/>
  <c r="K147" i="3"/>
  <c r="L147" i="3"/>
  <c r="M147" i="3" s="1"/>
  <c r="F148" i="3"/>
  <c r="G148" i="3"/>
  <c r="I148" i="3"/>
  <c r="D149" i="3"/>
  <c r="E149" i="3"/>
  <c r="F149" i="3" s="1"/>
  <c r="G149" i="3"/>
  <c r="F151" i="3"/>
  <c r="G151" i="3"/>
  <c r="F152" i="3"/>
  <c r="G152" i="3"/>
  <c r="D153" i="3"/>
  <c r="E153" i="3"/>
  <c r="G153" i="3" s="1"/>
  <c r="F155" i="3"/>
  <c r="G155" i="3"/>
  <c r="F156" i="3"/>
  <c r="G156" i="3"/>
  <c r="D157" i="3"/>
  <c r="E157" i="3"/>
  <c r="G157" i="3" s="1"/>
  <c r="F157" i="3"/>
  <c r="F159" i="3"/>
  <c r="G159" i="3"/>
  <c r="E161" i="3"/>
  <c r="D162" i="3"/>
  <c r="L165" i="3"/>
  <c r="F173" i="3"/>
  <c r="G173" i="3"/>
  <c r="K173" i="3"/>
  <c r="L173" i="3"/>
  <c r="M173" i="3"/>
  <c r="F175" i="3"/>
  <c r="G175" i="3"/>
  <c r="F179" i="3"/>
  <c r="G179" i="3"/>
  <c r="K179" i="3"/>
  <c r="L179" i="3"/>
  <c r="M179" i="3"/>
  <c r="F180" i="3"/>
  <c r="G180" i="3"/>
  <c r="I180" i="3"/>
  <c r="K180" i="3"/>
  <c r="L180" i="3"/>
  <c r="M180" i="3" s="1"/>
  <c r="D181" i="3"/>
  <c r="E181" i="3"/>
  <c r="F181" i="3"/>
  <c r="F195" i="3" s="1"/>
  <c r="G181" i="3"/>
  <c r="F183" i="3"/>
  <c r="G183" i="3"/>
  <c r="I183" i="3"/>
  <c r="F184" i="3"/>
  <c r="G184" i="3"/>
  <c r="D185" i="3"/>
  <c r="F185" i="3" s="1"/>
  <c r="E185" i="3"/>
  <c r="F187" i="3"/>
  <c r="G187" i="3"/>
  <c r="F188" i="3"/>
  <c r="G188" i="3"/>
  <c r="D189" i="3"/>
  <c r="E189" i="3"/>
  <c r="E194" i="3" s="1"/>
  <c r="F189" i="3"/>
  <c r="G189" i="3"/>
  <c r="F191" i="3"/>
  <c r="G191" i="3"/>
  <c r="E193" i="3"/>
  <c r="E195" i="3" s="1"/>
  <c r="D194" i="3"/>
  <c r="E198" i="3"/>
  <c r="F198" i="3" s="1"/>
  <c r="G198" i="3"/>
  <c r="F199" i="3"/>
  <c r="G199" i="3"/>
  <c r="D200" i="3"/>
  <c r="E200" i="3"/>
  <c r="E202" i="3"/>
  <c r="F202" i="3"/>
  <c r="G202" i="3"/>
  <c r="E203" i="3"/>
  <c r="F203" i="3"/>
  <c r="G203" i="3"/>
  <c r="D204" i="3"/>
  <c r="E204" i="3"/>
  <c r="F204" i="3" s="1"/>
  <c r="E206" i="3"/>
  <c r="F206" i="3"/>
  <c r="F208" i="3" s="1"/>
  <c r="G206" i="3"/>
  <c r="E207" i="3"/>
  <c r="F207" i="3" s="1"/>
  <c r="G207" i="3"/>
  <c r="D208" i="3"/>
  <c r="D213" i="3" s="1"/>
  <c r="E208" i="3"/>
  <c r="E210" i="3"/>
  <c r="D212" i="3"/>
  <c r="D214" i="3" s="1"/>
  <c r="K222" i="3"/>
  <c r="L222" i="3"/>
  <c r="M222" i="3"/>
  <c r="F229" i="3"/>
  <c r="G229" i="3"/>
  <c r="K229" i="3"/>
  <c r="L229" i="3"/>
  <c r="M229" i="3"/>
  <c r="F231" i="3"/>
  <c r="G231" i="3"/>
  <c r="F234" i="3"/>
  <c r="G234" i="3"/>
  <c r="K234" i="3"/>
  <c r="L234" i="3"/>
  <c r="M234" i="3"/>
  <c r="F235" i="3"/>
  <c r="G235" i="3"/>
  <c r="I235" i="3"/>
  <c r="K235" i="3"/>
  <c r="L235" i="3"/>
  <c r="M235" i="3" s="1"/>
  <c r="D236" i="3"/>
  <c r="E236" i="3"/>
  <c r="F236" i="3"/>
  <c r="G236" i="3"/>
  <c r="F238" i="3"/>
  <c r="F240" i="3" s="1"/>
  <c r="G238" i="3"/>
  <c r="I238" i="3"/>
  <c r="F239" i="3"/>
  <c r="G239" i="3"/>
  <c r="I239" i="3"/>
  <c r="K239" i="3"/>
  <c r="L239" i="3"/>
  <c r="M239" i="3"/>
  <c r="D240" i="3"/>
  <c r="E240" i="3"/>
  <c r="F242" i="3"/>
  <c r="G242" i="3"/>
  <c r="I242" i="3"/>
  <c r="K242" i="3"/>
  <c r="L242" i="3"/>
  <c r="F243" i="3"/>
  <c r="G243" i="3"/>
  <c r="I243" i="3"/>
  <c r="K243" i="3" s="1"/>
  <c r="D244" i="3"/>
  <c r="E244" i="3"/>
  <c r="F244" i="3"/>
  <c r="G244" i="3"/>
  <c r="F246" i="3"/>
  <c r="G246" i="3"/>
  <c r="E248" i="3"/>
  <c r="D249" i="3"/>
  <c r="K253" i="3"/>
  <c r="L253" i="3"/>
  <c r="M253" i="3"/>
  <c r="F260" i="3"/>
  <c r="G260" i="3"/>
  <c r="K260" i="3"/>
  <c r="L260" i="3"/>
  <c r="M260" i="3" s="1"/>
  <c r="M314" i="3" s="1"/>
  <c r="F262" i="3"/>
  <c r="G262" i="3"/>
  <c r="F264" i="3"/>
  <c r="G264" i="3"/>
  <c r="F266" i="3"/>
  <c r="G266" i="3"/>
  <c r="F270" i="3"/>
  <c r="G270" i="3"/>
  <c r="K270" i="3"/>
  <c r="L270" i="3"/>
  <c r="M270" i="3"/>
  <c r="F271" i="3"/>
  <c r="G271" i="3"/>
  <c r="I271" i="3"/>
  <c r="L271" i="3" s="1"/>
  <c r="K271" i="3"/>
  <c r="M271" i="3"/>
  <c r="D272" i="3"/>
  <c r="F272" i="3" s="1"/>
  <c r="E272" i="3"/>
  <c r="K272" i="3"/>
  <c r="L272" i="3"/>
  <c r="F274" i="3"/>
  <c r="G274" i="3"/>
  <c r="I274" i="3"/>
  <c r="K274" i="3" s="1"/>
  <c r="L274" i="3"/>
  <c r="F275" i="3"/>
  <c r="G275" i="3"/>
  <c r="I275" i="3"/>
  <c r="D276" i="3"/>
  <c r="E276" i="3"/>
  <c r="F276" i="3" s="1"/>
  <c r="F278" i="3"/>
  <c r="F280" i="3" s="1"/>
  <c r="G278" i="3"/>
  <c r="F279" i="3"/>
  <c r="G279" i="3"/>
  <c r="D280" i="3"/>
  <c r="E280" i="3"/>
  <c r="G280" i="3"/>
  <c r="F282" i="3"/>
  <c r="F285" i="3" s="1"/>
  <c r="F283" i="3"/>
  <c r="D285" i="3"/>
  <c r="E285" i="3"/>
  <c r="D287" i="3"/>
  <c r="D288" i="3"/>
  <c r="E288" i="3"/>
  <c r="D289" i="3"/>
  <c r="F292" i="3"/>
  <c r="G292" i="3"/>
  <c r="F293" i="3"/>
  <c r="G293" i="3"/>
  <c r="D294" i="3"/>
  <c r="E294" i="3"/>
  <c r="F294" i="3" s="1"/>
  <c r="G294" i="3"/>
  <c r="F296" i="3"/>
  <c r="F298" i="3" s="1"/>
  <c r="G296" i="3"/>
  <c r="F297" i="3"/>
  <c r="G297" i="3"/>
  <c r="D298" i="3"/>
  <c r="E298" i="3"/>
  <c r="G298" i="3" s="1"/>
  <c r="E300" i="3"/>
  <c r="F300" i="3" s="1"/>
  <c r="G300" i="3"/>
  <c r="E301" i="3"/>
  <c r="E302" i="3" s="1"/>
  <c r="D302" i="3"/>
  <c r="E304" i="3"/>
  <c r="E307" i="3" s="1"/>
  <c r="F304" i="3"/>
  <c r="F307" i="3" s="1"/>
  <c r="E305" i="3"/>
  <c r="F305" i="3"/>
  <c r="D307" i="3"/>
  <c r="D309" i="3"/>
  <c r="D311" i="3" s="1"/>
  <c r="D310" i="3"/>
  <c r="K314" i="3"/>
  <c r="F322" i="3"/>
  <c r="G322" i="3"/>
  <c r="K322" i="3"/>
  <c r="L322" i="3"/>
  <c r="M322" i="3" s="1"/>
  <c r="M346" i="3" s="1"/>
  <c r="F324" i="3"/>
  <c r="G324" i="3"/>
  <c r="F327" i="3"/>
  <c r="F329" i="3" s="1"/>
  <c r="F343" i="3" s="1"/>
  <c r="G327" i="3"/>
  <c r="K327" i="3"/>
  <c r="L327" i="3"/>
  <c r="M327" i="3" s="1"/>
  <c r="F328" i="3"/>
  <c r="G328" i="3"/>
  <c r="I328" i="3"/>
  <c r="D329" i="3"/>
  <c r="E329" i="3"/>
  <c r="G329" i="3" s="1"/>
  <c r="F331" i="3"/>
  <c r="G331" i="3"/>
  <c r="F332" i="3"/>
  <c r="G332" i="3"/>
  <c r="D333" i="3"/>
  <c r="E333" i="3"/>
  <c r="F333" i="3"/>
  <c r="G333" i="3"/>
  <c r="F335" i="3"/>
  <c r="F337" i="3" s="1"/>
  <c r="G335" i="3"/>
  <c r="F336" i="3"/>
  <c r="G336" i="3"/>
  <c r="D337" i="3"/>
  <c r="E337" i="3"/>
  <c r="F339" i="3"/>
  <c r="G339" i="3"/>
  <c r="D341" i="3"/>
  <c r="E341" i="3"/>
  <c r="E342" i="3"/>
  <c r="E343" i="3"/>
  <c r="K346" i="3"/>
  <c r="L346" i="3"/>
  <c r="F354" i="3"/>
  <c r="G354" i="3"/>
  <c r="E355" i="3"/>
  <c r="E369" i="3" s="1"/>
  <c r="F355" i="3"/>
  <c r="G355" i="3"/>
  <c r="D356" i="3"/>
  <c r="G356" i="3" s="1"/>
  <c r="F356" i="3"/>
  <c r="F358" i="3"/>
  <c r="G358" i="3"/>
  <c r="F359" i="3"/>
  <c r="G359" i="3"/>
  <c r="D360" i="3"/>
  <c r="D368" i="3" s="1"/>
  <c r="E360" i="3"/>
  <c r="F360" i="3"/>
  <c r="F362" i="3"/>
  <c r="G362" i="3"/>
  <c r="F363" i="3"/>
  <c r="F364" i="3" s="1"/>
  <c r="G363" i="3"/>
  <c r="D364" i="3"/>
  <c r="E364" i="3"/>
  <c r="G364" i="3" s="1"/>
  <c r="F366" i="3"/>
  <c r="G366" i="3"/>
  <c r="D369" i="3"/>
  <c r="D370" i="3"/>
  <c r="F374" i="3"/>
  <c r="G374" i="3"/>
  <c r="E378" i="3"/>
  <c r="E380" i="3" s="1"/>
  <c r="F379" i="3"/>
  <c r="G379" i="3"/>
  <c r="D380" i="3"/>
  <c r="E382" i="3"/>
  <c r="F382" i="3"/>
  <c r="G382" i="3"/>
  <c r="E383" i="3"/>
  <c r="D384" i="3"/>
  <c r="E384" i="3"/>
  <c r="E386" i="3"/>
  <c r="F386" i="3"/>
  <c r="G386" i="3"/>
  <c r="E387" i="3"/>
  <c r="E388" i="3" s="1"/>
  <c r="D388" i="3"/>
  <c r="E390" i="3"/>
  <c r="E409" i="3" s="1"/>
  <c r="G409" i="3" s="1"/>
  <c r="F390" i="3"/>
  <c r="G390" i="3"/>
  <c r="D392" i="3"/>
  <c r="D394" i="3" s="1"/>
  <c r="E392" i="3"/>
  <c r="D393" i="3"/>
  <c r="F398" i="3"/>
  <c r="G398" i="3"/>
  <c r="D399" i="3"/>
  <c r="E401" i="3"/>
  <c r="G401" i="3" s="1"/>
  <c r="F401" i="3"/>
  <c r="D403" i="3"/>
  <c r="D411" i="3" s="1"/>
  <c r="D413" i="3" s="1"/>
  <c r="E405" i="3"/>
  <c r="F405" i="3"/>
  <c r="G405" i="3"/>
  <c r="D407" i="3"/>
  <c r="F409" i="3"/>
  <c r="D412" i="3"/>
  <c r="F418" i="3"/>
  <c r="G418" i="3"/>
  <c r="K418" i="3"/>
  <c r="L418" i="3"/>
  <c r="L471" i="3" s="1"/>
  <c r="M418" i="3"/>
  <c r="M471" i="3" s="1"/>
  <c r="F419" i="3"/>
  <c r="F422" i="3" s="1"/>
  <c r="G419" i="3"/>
  <c r="F420" i="3"/>
  <c r="G420" i="3"/>
  <c r="K420" i="3"/>
  <c r="K471" i="3" s="1"/>
  <c r="L420" i="3"/>
  <c r="M420" i="3" s="1"/>
  <c r="F421" i="3"/>
  <c r="G421" i="3"/>
  <c r="D422" i="3"/>
  <c r="E422" i="3"/>
  <c r="F425" i="3"/>
  <c r="G425" i="3"/>
  <c r="K425" i="3"/>
  <c r="L425" i="3"/>
  <c r="M425" i="3"/>
  <c r="F426" i="3"/>
  <c r="G426" i="3"/>
  <c r="I426" i="3"/>
  <c r="D427" i="3"/>
  <c r="E427" i="3"/>
  <c r="F429" i="3"/>
  <c r="G429" i="3"/>
  <c r="I429" i="3"/>
  <c r="I430" i="3" s="1"/>
  <c r="I433" i="3" s="1"/>
  <c r="K429" i="3"/>
  <c r="L429" i="3"/>
  <c r="M429" i="3"/>
  <c r="F430" i="3"/>
  <c r="G430" i="3"/>
  <c r="L430" i="3"/>
  <c r="M430" i="3" s="1"/>
  <c r="D431" i="3"/>
  <c r="E431" i="3"/>
  <c r="F431" i="3"/>
  <c r="G431" i="3"/>
  <c r="F433" i="3"/>
  <c r="G433" i="3"/>
  <c r="F434" i="3"/>
  <c r="G434" i="3"/>
  <c r="D435" i="3"/>
  <c r="D444" i="3" s="1"/>
  <c r="E435" i="3"/>
  <c r="F437" i="3"/>
  <c r="F438" i="3"/>
  <c r="D439" i="3"/>
  <c r="E439" i="3"/>
  <c r="F439" i="3"/>
  <c r="D443" i="3"/>
  <c r="E443" i="3"/>
  <c r="D445" i="3"/>
  <c r="F448" i="3"/>
  <c r="G448" i="3"/>
  <c r="K448" i="3"/>
  <c r="L448" i="3"/>
  <c r="M448" i="3"/>
  <c r="F449" i="3"/>
  <c r="G449" i="3"/>
  <c r="I449" i="3"/>
  <c r="K449" i="3"/>
  <c r="L449" i="3"/>
  <c r="D450" i="3"/>
  <c r="E450" i="3"/>
  <c r="F450" i="3"/>
  <c r="G450" i="3"/>
  <c r="F452" i="3"/>
  <c r="G452" i="3"/>
  <c r="I452" i="3"/>
  <c r="F453" i="3"/>
  <c r="G453" i="3"/>
  <c r="D454" i="3"/>
  <c r="E454" i="3"/>
  <c r="F456" i="3"/>
  <c r="G456" i="3"/>
  <c r="F457" i="3"/>
  <c r="G457" i="3"/>
  <c r="D458" i="3"/>
  <c r="D467" i="3" s="1"/>
  <c r="E458" i="3"/>
  <c r="E467" i="3" s="1"/>
  <c r="F467" i="3" s="1"/>
  <c r="F458" i="3"/>
  <c r="G458" i="3"/>
  <c r="F460" i="3"/>
  <c r="G460" i="3"/>
  <c r="F461" i="3"/>
  <c r="G461" i="3"/>
  <c r="D462" i="3"/>
  <c r="E462" i="3"/>
  <c r="G462" i="3" s="1"/>
  <c r="D466" i="3"/>
  <c r="D468" i="3" s="1"/>
  <c r="H4" i="2"/>
  <c r="H5" i="2"/>
  <c r="H6" i="2"/>
  <c r="H7" i="2"/>
  <c r="H8" i="2"/>
  <c r="H9" i="2"/>
  <c r="H10" i="2"/>
  <c r="H12" i="2"/>
  <c r="C14" i="2"/>
  <c r="D14" i="2"/>
  <c r="I18" i="2"/>
  <c r="M19" i="2"/>
  <c r="H22" i="2"/>
  <c r="H23" i="2"/>
  <c r="C24" i="2"/>
  <c r="H24" i="2"/>
  <c r="H25" i="2"/>
  <c r="H26" i="2"/>
  <c r="H27" i="2"/>
  <c r="H28" i="2"/>
  <c r="C29" i="2"/>
  <c r="H29" i="2"/>
  <c r="H30" i="2"/>
  <c r="H31" i="2"/>
  <c r="H32" i="2"/>
  <c r="H33" i="2"/>
  <c r="D34" i="2"/>
  <c r="C44" i="2"/>
  <c r="D44" i="2"/>
  <c r="B38" i="2"/>
  <c r="C39" i="2"/>
  <c r="H16" i="1"/>
  <c r="H17" i="1"/>
  <c r="H18" i="1"/>
  <c r="H19" i="1"/>
  <c r="H20" i="1"/>
  <c r="H21" i="1"/>
  <c r="H22" i="1"/>
  <c r="H23" i="1"/>
  <c r="C24" i="1"/>
  <c r="C27" i="1" s="1"/>
  <c r="D26" i="1" s="1"/>
  <c r="E24" i="1"/>
  <c r="E27" i="1" s="1"/>
  <c r="F21" i="1" s="1"/>
  <c r="D69" i="1" s="1"/>
  <c r="H24" i="1"/>
  <c r="I24" i="1"/>
  <c r="I57" i="1" s="1"/>
  <c r="H25" i="1"/>
  <c r="H26" i="1"/>
  <c r="H27" i="1"/>
  <c r="K27" i="1"/>
  <c r="L22" i="1" s="1"/>
  <c r="D85" i="1" s="1"/>
  <c r="C33" i="1"/>
  <c r="C48" i="1" s="1"/>
  <c r="C93" i="1" s="1"/>
  <c r="C34" i="1"/>
  <c r="C49" i="1" s="1"/>
  <c r="F34" i="1"/>
  <c r="C35" i="1"/>
  <c r="C50" i="1" s="1"/>
  <c r="F35" i="1"/>
  <c r="C36" i="1"/>
  <c r="C51" i="1" s="1"/>
  <c r="F36" i="1"/>
  <c r="C37" i="1"/>
  <c r="C52" i="1" s="1"/>
  <c r="F37" i="1"/>
  <c r="C38" i="1"/>
  <c r="C53" i="1" s="1"/>
  <c r="F38" i="1"/>
  <c r="C39" i="1"/>
  <c r="C54" i="1" s="1"/>
  <c r="F39" i="1"/>
  <c r="C40" i="1"/>
  <c r="C55" i="1" s="1"/>
  <c r="F40" i="1"/>
  <c r="C41" i="1"/>
  <c r="C56" i="1" s="1"/>
  <c r="F41" i="1"/>
  <c r="C43" i="1"/>
  <c r="F43" i="1"/>
  <c r="C44" i="1"/>
  <c r="C59" i="1" s="1"/>
  <c r="F44" i="1"/>
  <c r="E49" i="1"/>
  <c r="E94" i="1" s="1"/>
  <c r="I49" i="1"/>
  <c r="E50" i="1"/>
  <c r="E95" i="1" s="1"/>
  <c r="I50" i="1"/>
  <c r="E51" i="1"/>
  <c r="E96" i="1" s="1"/>
  <c r="I51" i="1"/>
  <c r="E52" i="1"/>
  <c r="E97" i="1" s="1"/>
  <c r="I52" i="1"/>
  <c r="E53" i="1"/>
  <c r="E98" i="1" s="1"/>
  <c r="I53" i="1"/>
  <c r="E54" i="1"/>
  <c r="E99" i="1" s="1"/>
  <c r="I54" i="1"/>
  <c r="E55" i="1"/>
  <c r="E100" i="1" s="1"/>
  <c r="I55" i="1"/>
  <c r="E56" i="1"/>
  <c r="E101" i="1" s="1"/>
  <c r="I56" i="1"/>
  <c r="E58" i="1"/>
  <c r="E103" i="1" s="1"/>
  <c r="I58" i="1"/>
  <c r="E59" i="1"/>
  <c r="E104" i="1" s="1"/>
  <c r="I59" i="1"/>
  <c r="M59" i="1"/>
  <c r="M102" i="1" s="1"/>
  <c r="C63" i="1"/>
  <c r="C64" i="1"/>
  <c r="F64" i="1"/>
  <c r="C65" i="1"/>
  <c r="F65" i="1"/>
  <c r="C66" i="1"/>
  <c r="F66" i="1"/>
  <c r="C67" i="1"/>
  <c r="F67" i="1"/>
  <c r="C68" i="1"/>
  <c r="F68" i="1"/>
  <c r="C69" i="1"/>
  <c r="F69" i="1"/>
  <c r="C70" i="1"/>
  <c r="F70" i="1"/>
  <c r="C71" i="1"/>
  <c r="F71" i="1"/>
  <c r="C73" i="1"/>
  <c r="F73" i="1"/>
  <c r="C74" i="1"/>
  <c r="F74" i="1"/>
  <c r="C78" i="1"/>
  <c r="C79" i="1"/>
  <c r="F79" i="1"/>
  <c r="C80" i="1"/>
  <c r="F80" i="1"/>
  <c r="C81" i="1"/>
  <c r="F81" i="1"/>
  <c r="C82" i="1"/>
  <c r="F82" i="1"/>
  <c r="C83" i="1"/>
  <c r="F83" i="1"/>
  <c r="C84" i="1"/>
  <c r="F84" i="1"/>
  <c r="C85" i="1"/>
  <c r="F85" i="1"/>
  <c r="C86" i="1"/>
  <c r="F86" i="1"/>
  <c r="C87" i="1"/>
  <c r="C88" i="1"/>
  <c r="F88" i="1"/>
  <c r="C89" i="1"/>
  <c r="F89" i="1"/>
  <c r="I94" i="1"/>
  <c r="I95" i="1"/>
  <c r="I96" i="1"/>
  <c r="I97" i="1"/>
  <c r="I98" i="1"/>
  <c r="I99" i="1"/>
  <c r="I100" i="1"/>
  <c r="I101" i="1"/>
  <c r="L102" i="1"/>
  <c r="I103" i="1"/>
  <c r="I104" i="1"/>
  <c r="L105" i="1"/>
  <c r="M105" i="1"/>
  <c r="C108" i="1"/>
  <c r="D108" i="1"/>
  <c r="C109" i="1"/>
  <c r="C110" i="1"/>
  <c r="C111" i="1"/>
  <c r="C112" i="1"/>
  <c r="C113" i="1"/>
  <c r="C114" i="1"/>
  <c r="C115" i="1"/>
  <c r="C116" i="1"/>
  <c r="C118" i="1"/>
  <c r="C119" i="1"/>
  <c r="C123" i="1"/>
  <c r="D123" i="1"/>
  <c r="J19" i="2" s="1"/>
  <c r="E123" i="1"/>
  <c r="K19" i="2" s="1"/>
  <c r="F123" i="1"/>
  <c r="L19" i="2" s="1"/>
  <c r="H123" i="1"/>
  <c r="N19" i="2" s="1"/>
  <c r="L26" i="1" l="1"/>
  <c r="D89" i="1" s="1"/>
  <c r="L17" i="1"/>
  <c r="D80" i="1" s="1"/>
  <c r="L23" i="1"/>
  <c r="D86" i="1" s="1"/>
  <c r="L21" i="1"/>
  <c r="D84" i="1" s="1"/>
  <c r="D9" i="1"/>
  <c r="E90" i="1" s="1"/>
  <c r="E85" i="1" s="1"/>
  <c r="G85" i="1" s="1"/>
  <c r="F130" i="1" s="1"/>
  <c r="L28" i="2" s="1"/>
  <c r="C72" i="1"/>
  <c r="L20" i="1"/>
  <c r="D83" i="1" s="1"/>
  <c r="C90" i="1"/>
  <c r="C105" i="1" s="1"/>
  <c r="D105" i="1" s="1"/>
  <c r="F24" i="1"/>
  <c r="D72" i="1" s="1"/>
  <c r="L16" i="1"/>
  <c r="D79" i="1" s="1"/>
  <c r="E57" i="1"/>
  <c r="E102" i="1" s="1"/>
  <c r="F23" i="1"/>
  <c r="D71" i="1" s="1"/>
  <c r="C75" i="1"/>
  <c r="F27" i="1"/>
  <c r="D75" i="1" s="1"/>
  <c r="L25" i="1"/>
  <c r="D88" i="1" s="1"/>
  <c r="L19" i="1"/>
  <c r="D82" i="1" s="1"/>
  <c r="F20" i="1"/>
  <c r="D68" i="1" s="1"/>
  <c r="L24" i="1"/>
  <c r="D87" i="1" s="1"/>
  <c r="L18" i="1"/>
  <c r="D81" i="1" s="1"/>
  <c r="I60" i="1"/>
  <c r="C95" i="1"/>
  <c r="D18" i="1"/>
  <c r="D27" i="1"/>
  <c r="D22" i="1"/>
  <c r="D19" i="1"/>
  <c r="C45" i="1"/>
  <c r="D35" i="1" s="1"/>
  <c r="D16" i="1"/>
  <c r="D25" i="1"/>
  <c r="D20" i="1"/>
  <c r="D23" i="1"/>
  <c r="D21" i="1"/>
  <c r="D24" i="1"/>
  <c r="D17" i="1"/>
  <c r="F392" i="3"/>
  <c r="G392" i="3"/>
  <c r="F370" i="3"/>
  <c r="E310" i="3"/>
  <c r="G302" i="3"/>
  <c r="F119" i="3"/>
  <c r="G119" i="3"/>
  <c r="C96" i="1"/>
  <c r="C99" i="1"/>
  <c r="C104" i="1"/>
  <c r="C101" i="1"/>
  <c r="M449" i="3"/>
  <c r="F380" i="3"/>
  <c r="F394" i="3" s="1"/>
  <c r="G380" i="3"/>
  <c r="C100" i="1"/>
  <c r="D19" i="2"/>
  <c r="G388" i="3"/>
  <c r="E393" i="3"/>
  <c r="E394" i="3" s="1"/>
  <c r="G394" i="3" s="1"/>
  <c r="C94" i="1"/>
  <c r="D94" i="1" s="1"/>
  <c r="K433" i="3"/>
  <c r="L433" i="3"/>
  <c r="I434" i="3"/>
  <c r="C58" i="1"/>
  <c r="K238" i="3"/>
  <c r="K240" i="3" s="1"/>
  <c r="K248" i="3" s="1"/>
  <c r="L238" i="3"/>
  <c r="C98" i="1"/>
  <c r="D98" i="1" s="1"/>
  <c r="C97" i="1"/>
  <c r="D39" i="2"/>
  <c r="F427" i="3"/>
  <c r="E445" i="3"/>
  <c r="G445" i="3" s="1"/>
  <c r="G427" i="3"/>
  <c r="F384" i="3"/>
  <c r="G384" i="3"/>
  <c r="F64" i="3"/>
  <c r="F74" i="3" s="1"/>
  <c r="G64" i="3"/>
  <c r="C117" i="1"/>
  <c r="C120" i="1" s="1"/>
  <c r="I102" i="1"/>
  <c r="I105" i="1" s="1"/>
  <c r="I246" i="3"/>
  <c r="L243" i="3"/>
  <c r="M243" i="3" s="1"/>
  <c r="K112" i="3"/>
  <c r="M78" i="3"/>
  <c r="D9" i="2" s="1"/>
  <c r="F26" i="1"/>
  <c r="D74" i="1" s="1"/>
  <c r="F17" i="1"/>
  <c r="D65" i="1" s="1"/>
  <c r="K426" i="3"/>
  <c r="L426" i="3"/>
  <c r="F383" i="3"/>
  <c r="G383" i="3"/>
  <c r="E402" i="3"/>
  <c r="M181" i="3"/>
  <c r="F153" i="3"/>
  <c r="D161" i="3"/>
  <c r="D163" i="3" s="1"/>
  <c r="F42" i="1"/>
  <c r="F45" i="1" s="1"/>
  <c r="K430" i="3"/>
  <c r="K431" i="3" s="1"/>
  <c r="K443" i="3" s="1"/>
  <c r="M443" i="3"/>
  <c r="F369" i="3"/>
  <c r="G369" i="3"/>
  <c r="K244" i="3"/>
  <c r="F210" i="3"/>
  <c r="G210" i="3"/>
  <c r="E120" i="3"/>
  <c r="F124" i="3"/>
  <c r="G124" i="3"/>
  <c r="F289" i="3"/>
  <c r="L244" i="3"/>
  <c r="F72" i="1"/>
  <c r="F75" i="1" s="1"/>
  <c r="G467" i="3"/>
  <c r="F462" i="3"/>
  <c r="E466" i="3"/>
  <c r="G454" i="3"/>
  <c r="D343" i="3"/>
  <c r="G343" i="3" s="1"/>
  <c r="F341" i="3"/>
  <c r="G341" i="3"/>
  <c r="K328" i="3"/>
  <c r="L328" i="3"/>
  <c r="I331" i="3"/>
  <c r="E213" i="3"/>
  <c r="K183" i="3"/>
  <c r="L183" i="3"/>
  <c r="I184" i="3"/>
  <c r="F25" i="1"/>
  <c r="D73" i="1" s="1"/>
  <c r="F16" i="1"/>
  <c r="D64" i="1" s="1"/>
  <c r="F443" i="3"/>
  <c r="G435" i="3"/>
  <c r="E444" i="3"/>
  <c r="K427" i="3"/>
  <c r="E289" i="3"/>
  <c r="G289" i="3" s="1"/>
  <c r="E287" i="3"/>
  <c r="G276" i="3"/>
  <c r="F250" i="3"/>
  <c r="I63" i="3"/>
  <c r="K62" i="3"/>
  <c r="L62" i="3"/>
  <c r="M41" i="3"/>
  <c r="F25" i="3"/>
  <c r="E60" i="1"/>
  <c r="F56" i="1" s="1"/>
  <c r="C42" i="1"/>
  <c r="F19" i="1"/>
  <c r="D67" i="1" s="1"/>
  <c r="M431" i="3"/>
  <c r="F87" i="1"/>
  <c r="F90" i="1" s="1"/>
  <c r="I27" i="1"/>
  <c r="L27" i="1" s="1"/>
  <c r="D90" i="1" s="1"/>
  <c r="F22" i="1"/>
  <c r="D70" i="1" s="1"/>
  <c r="I19" i="2"/>
  <c r="L450" i="3"/>
  <c r="L431" i="3"/>
  <c r="L443" i="3" s="1"/>
  <c r="F301" i="3"/>
  <c r="F302" i="3" s="1"/>
  <c r="F311" i="3" s="1"/>
  <c r="G301" i="3"/>
  <c r="I278" i="3"/>
  <c r="K275" i="3"/>
  <c r="K276" i="3" s="1"/>
  <c r="K287" i="3" s="1"/>
  <c r="L275" i="3"/>
  <c r="M275" i="3" s="1"/>
  <c r="F200" i="3"/>
  <c r="G200" i="3"/>
  <c r="F194" i="3"/>
  <c r="G194" i="3"/>
  <c r="F163" i="3"/>
  <c r="E73" i="3"/>
  <c r="G68" i="3"/>
  <c r="F53" i="3"/>
  <c r="G53" i="3"/>
  <c r="E55" i="3"/>
  <c r="G55" i="3" s="1"/>
  <c r="K14" i="3"/>
  <c r="K15" i="3" s="1"/>
  <c r="K23" i="3" s="1"/>
  <c r="K29" i="3" s="1"/>
  <c r="L14" i="3"/>
  <c r="M14" i="3" s="1"/>
  <c r="I17" i="3"/>
  <c r="G422" i="3"/>
  <c r="F378" i="3"/>
  <c r="G378" i="3"/>
  <c r="M272" i="3"/>
  <c r="K114" i="3"/>
  <c r="L114" i="3"/>
  <c r="I115" i="3"/>
  <c r="K452" i="3"/>
  <c r="L452" i="3"/>
  <c r="I453" i="3"/>
  <c r="E368" i="3"/>
  <c r="G360" i="3"/>
  <c r="I151" i="3"/>
  <c r="K148" i="3"/>
  <c r="L148" i="3"/>
  <c r="K47" i="3"/>
  <c r="L47" i="3"/>
  <c r="I48" i="3"/>
  <c r="E406" i="3"/>
  <c r="F387" i="3"/>
  <c r="F388" i="3" s="1"/>
  <c r="G387" i="3"/>
  <c r="G240" i="3"/>
  <c r="D248" i="3"/>
  <c r="D24" i="2"/>
  <c r="F93" i="3"/>
  <c r="F107" i="3" s="1"/>
  <c r="G93" i="3"/>
  <c r="D4" i="2"/>
  <c r="M274" i="3"/>
  <c r="M276" i="3" s="1"/>
  <c r="M287" i="3" s="1"/>
  <c r="L276" i="3"/>
  <c r="L287" i="3" s="1"/>
  <c r="F18" i="1"/>
  <c r="D66" i="1" s="1"/>
  <c r="F454" i="3"/>
  <c r="F468" i="3" s="1"/>
  <c r="E397" i="3"/>
  <c r="F288" i="3"/>
  <c r="G288" i="3"/>
  <c r="F116" i="3"/>
  <c r="G116" i="3"/>
  <c r="L63" i="3"/>
  <c r="M63" i="3" s="1"/>
  <c r="M64" i="3" s="1"/>
  <c r="D29" i="2"/>
  <c r="K450" i="3"/>
  <c r="F435" i="3"/>
  <c r="E370" i="3"/>
  <c r="G370" i="3" s="1"/>
  <c r="E309" i="3"/>
  <c r="E249" i="3"/>
  <c r="E250" i="3"/>
  <c r="D74" i="3"/>
  <c r="D55" i="3"/>
  <c r="K41" i="3"/>
  <c r="D342" i="3"/>
  <c r="G342" i="3" s="1"/>
  <c r="G337" i="3"/>
  <c r="M236" i="3"/>
  <c r="C19" i="2"/>
  <c r="K149" i="3"/>
  <c r="K45" i="3"/>
  <c r="K53" i="3" s="1"/>
  <c r="L110" i="3"/>
  <c r="G443" i="3"/>
  <c r="D193" i="3"/>
  <c r="G185" i="3"/>
  <c r="L28" i="3"/>
  <c r="L236" i="3"/>
  <c r="G208" i="3"/>
  <c r="L181" i="3"/>
  <c r="G110" i="3"/>
  <c r="D106" i="3"/>
  <c r="G41" i="3"/>
  <c r="L13" i="3"/>
  <c r="K236" i="3"/>
  <c r="E212" i="3"/>
  <c r="K181" i="3"/>
  <c r="E162" i="3"/>
  <c r="E163" i="3" s="1"/>
  <c r="G163" i="3" s="1"/>
  <c r="F110" i="3"/>
  <c r="I92" i="3"/>
  <c r="E72" i="3"/>
  <c r="L44" i="3"/>
  <c r="M58" i="3"/>
  <c r="K44" i="3"/>
  <c r="M9" i="3"/>
  <c r="G272" i="3"/>
  <c r="E54" i="3"/>
  <c r="G204" i="3"/>
  <c r="E112" i="3"/>
  <c r="G58" i="3"/>
  <c r="D23" i="3"/>
  <c r="L314" i="3"/>
  <c r="M242" i="3"/>
  <c r="M244" i="3" s="1"/>
  <c r="G161" i="3"/>
  <c r="G115" i="3"/>
  <c r="E25" i="3"/>
  <c r="F161" i="3"/>
  <c r="D105" i="3"/>
  <c r="K11" i="3"/>
  <c r="F118" i="3"/>
  <c r="F120" i="3" s="1"/>
  <c r="H105" i="1" l="1"/>
  <c r="J105" i="1" s="1"/>
  <c r="G135" i="1" s="1"/>
  <c r="M33" i="2" s="1"/>
  <c r="E75" i="1"/>
  <c r="G75" i="1" s="1"/>
  <c r="E135" i="1" s="1"/>
  <c r="K33" i="2" s="1"/>
  <c r="F58" i="1"/>
  <c r="E45" i="1"/>
  <c r="E44" i="1" s="1"/>
  <c r="G44" i="1" s="1"/>
  <c r="C134" i="1" s="1"/>
  <c r="I32" i="2" s="1"/>
  <c r="D99" i="1"/>
  <c r="D95" i="1"/>
  <c r="D104" i="1"/>
  <c r="E87" i="1"/>
  <c r="E80" i="1"/>
  <c r="G80" i="1" s="1"/>
  <c r="F125" i="1" s="1"/>
  <c r="L23" i="2" s="1"/>
  <c r="D96" i="1"/>
  <c r="E82" i="1"/>
  <c r="G82" i="1" s="1"/>
  <c r="F127" i="1" s="1"/>
  <c r="L25" i="2" s="1"/>
  <c r="E83" i="1"/>
  <c r="G83" i="1" s="1"/>
  <c r="F128" i="1" s="1"/>
  <c r="L26" i="2" s="1"/>
  <c r="D100" i="1"/>
  <c r="E84" i="1"/>
  <c r="G84" i="1" s="1"/>
  <c r="F129" i="1" s="1"/>
  <c r="L27" i="2" s="1"/>
  <c r="F53" i="1"/>
  <c r="D101" i="1"/>
  <c r="D97" i="1"/>
  <c r="E79" i="1"/>
  <c r="G79" i="1" s="1"/>
  <c r="F124" i="1" s="1"/>
  <c r="L22" i="2" s="1"/>
  <c r="E81" i="1"/>
  <c r="G81" i="1" s="1"/>
  <c r="F126" i="1" s="1"/>
  <c r="L24" i="2" s="1"/>
  <c r="E88" i="1"/>
  <c r="G88" i="1" s="1"/>
  <c r="F133" i="1" s="1"/>
  <c r="L31" i="2" s="1"/>
  <c r="E120" i="1"/>
  <c r="F120" i="1" s="1"/>
  <c r="H135" i="1" s="1"/>
  <c r="N33" i="2" s="1"/>
  <c r="H60" i="1"/>
  <c r="G90" i="1"/>
  <c r="F135" i="1" s="1"/>
  <c r="L33" i="2" s="1"/>
  <c r="E86" i="1"/>
  <c r="G86" i="1" s="1"/>
  <c r="F131" i="1" s="1"/>
  <c r="L29" i="2" s="1"/>
  <c r="E89" i="1"/>
  <c r="G89" i="1" s="1"/>
  <c r="F134" i="1" s="1"/>
  <c r="L32" i="2" s="1"/>
  <c r="F50" i="1"/>
  <c r="F54" i="1"/>
  <c r="D39" i="1"/>
  <c r="D43" i="1"/>
  <c r="D37" i="1"/>
  <c r="K254" i="3"/>
  <c r="M315" i="3"/>
  <c r="K315" i="3"/>
  <c r="F466" i="3"/>
  <c r="G466" i="3"/>
  <c r="E468" i="3"/>
  <c r="G468" i="3" s="1"/>
  <c r="M426" i="3"/>
  <c r="L427" i="3"/>
  <c r="D107" i="3"/>
  <c r="G107" i="3" s="1"/>
  <c r="F105" i="3"/>
  <c r="G105" i="3"/>
  <c r="I118" i="3"/>
  <c r="K115" i="3"/>
  <c r="K116" i="3" s="1"/>
  <c r="K124" i="3" s="1"/>
  <c r="L115" i="3"/>
  <c r="M115" i="3" s="1"/>
  <c r="L15" i="3"/>
  <c r="L23" i="3" s="1"/>
  <c r="L29" i="3" s="1"/>
  <c r="M13" i="3"/>
  <c r="M15" i="3" s="1"/>
  <c r="F54" i="3"/>
  <c r="G54" i="3"/>
  <c r="K329" i="3"/>
  <c r="M11" i="3"/>
  <c r="M23" i="3"/>
  <c r="M29" i="3" s="1"/>
  <c r="L315" i="3"/>
  <c r="I51" i="3"/>
  <c r="K48" i="3"/>
  <c r="K49" i="3" s="1"/>
  <c r="L48" i="3"/>
  <c r="M48" i="3" s="1"/>
  <c r="L64" i="3"/>
  <c r="L72" i="3" s="1"/>
  <c r="I187" i="3"/>
  <c r="K184" i="3"/>
  <c r="K185" i="3" s="1"/>
  <c r="K193" i="3" s="1"/>
  <c r="L184" i="3"/>
  <c r="M184" i="3" s="1"/>
  <c r="M47" i="3"/>
  <c r="M183" i="3"/>
  <c r="M185" i="3" s="1"/>
  <c r="M193" i="3" s="1"/>
  <c r="L185" i="3"/>
  <c r="L193" i="3" s="1"/>
  <c r="F310" i="3"/>
  <c r="G310" i="3"/>
  <c r="D44" i="1"/>
  <c r="D41" i="1"/>
  <c r="D38" i="1"/>
  <c r="C60" i="1"/>
  <c r="D45" i="1"/>
  <c r="D36" i="1"/>
  <c r="D40" i="1"/>
  <c r="D34" i="1"/>
  <c r="F112" i="3"/>
  <c r="F126" i="3" s="1"/>
  <c r="G112" i="3"/>
  <c r="G120" i="3"/>
  <c r="E125" i="3"/>
  <c r="I437" i="3"/>
  <c r="K434" i="3"/>
  <c r="K435" i="3" s="1"/>
  <c r="L434" i="3"/>
  <c r="M434" i="3" s="1"/>
  <c r="F249" i="3"/>
  <c r="G249" i="3"/>
  <c r="E311" i="3"/>
  <c r="G311" i="3" s="1"/>
  <c r="F309" i="3"/>
  <c r="G309" i="3"/>
  <c r="F406" i="3"/>
  <c r="F407" i="3" s="1"/>
  <c r="G406" i="3"/>
  <c r="E407" i="3"/>
  <c r="M60" i="3"/>
  <c r="M72" i="3"/>
  <c r="F214" i="3"/>
  <c r="K63" i="3"/>
  <c r="K64" i="3" s="1"/>
  <c r="K72" i="3" s="1"/>
  <c r="I66" i="3"/>
  <c r="F162" i="3"/>
  <c r="G162" i="3"/>
  <c r="D195" i="3"/>
  <c r="G195" i="3" s="1"/>
  <c r="G193" i="3"/>
  <c r="F212" i="3"/>
  <c r="G212" i="3"/>
  <c r="E214" i="3"/>
  <c r="G214" i="3" s="1"/>
  <c r="L112" i="3"/>
  <c r="M110" i="3"/>
  <c r="I456" i="3"/>
  <c r="K453" i="3"/>
  <c r="K454" i="3" s="1"/>
  <c r="K466" i="3" s="1"/>
  <c r="L453" i="3"/>
  <c r="M453" i="3" s="1"/>
  <c r="D250" i="3"/>
  <c r="G250" i="3" s="1"/>
  <c r="F248" i="3"/>
  <c r="G248" i="3"/>
  <c r="M452" i="3"/>
  <c r="M454" i="3" s="1"/>
  <c r="M466" i="3" s="1"/>
  <c r="M472" i="3" s="1"/>
  <c r="L454" i="3"/>
  <c r="L466" i="3" s="1"/>
  <c r="L45" i="3"/>
  <c r="L53" i="3" s="1"/>
  <c r="M44" i="3"/>
  <c r="M45" i="3" s="1"/>
  <c r="M53" i="3" s="1"/>
  <c r="L149" i="3"/>
  <c r="M148" i="3"/>
  <c r="F213" i="3"/>
  <c r="G213" i="3"/>
  <c r="F445" i="3"/>
  <c r="F60" i="1"/>
  <c r="E105" i="1"/>
  <c r="J21" i="1"/>
  <c r="D114" i="1" s="1"/>
  <c r="J18" i="1"/>
  <c r="D111" i="1" s="1"/>
  <c r="J27" i="1"/>
  <c r="J22" i="1"/>
  <c r="D115" i="1" s="1"/>
  <c r="J19" i="1"/>
  <c r="D112" i="1" s="1"/>
  <c r="J16" i="1"/>
  <c r="D109" i="1" s="1"/>
  <c r="J25" i="1"/>
  <c r="D118" i="1" s="1"/>
  <c r="J23" i="1"/>
  <c r="D116" i="1" s="1"/>
  <c r="J20" i="1"/>
  <c r="D113" i="1" s="1"/>
  <c r="J17" i="1"/>
  <c r="D110" i="1" s="1"/>
  <c r="J26" i="1"/>
  <c r="D119" i="1" s="1"/>
  <c r="F397" i="3"/>
  <c r="E411" i="3"/>
  <c r="G397" i="3"/>
  <c r="E399" i="3"/>
  <c r="M114" i="3"/>
  <c r="M116" i="3" s="1"/>
  <c r="L116" i="3"/>
  <c r="L124" i="3" s="1"/>
  <c r="F73" i="3"/>
  <c r="G73" i="3"/>
  <c r="F106" i="3"/>
  <c r="G106" i="3"/>
  <c r="C34" i="2"/>
  <c r="E74" i="3"/>
  <c r="G74" i="3" s="1"/>
  <c r="F72" i="3"/>
  <c r="G72" i="3"/>
  <c r="C4" i="2"/>
  <c r="M450" i="3"/>
  <c r="K246" i="3"/>
  <c r="K249" i="3" s="1"/>
  <c r="L246" i="3"/>
  <c r="M246" i="3" s="1"/>
  <c r="I247" i="3"/>
  <c r="F193" i="3"/>
  <c r="M433" i="3"/>
  <c r="D25" i="3"/>
  <c r="G25" i="3" s="1"/>
  <c r="F23" i="3"/>
  <c r="G23" i="3"/>
  <c r="I95" i="3"/>
  <c r="K92" i="3"/>
  <c r="L92" i="3"/>
  <c r="K151" i="3"/>
  <c r="L151" i="3"/>
  <c r="I152" i="3"/>
  <c r="J24" i="1"/>
  <c r="D117" i="1" s="1"/>
  <c r="K278" i="3"/>
  <c r="L278" i="3"/>
  <c r="I279" i="3"/>
  <c r="I332" i="3"/>
  <c r="K331" i="3"/>
  <c r="L331" i="3"/>
  <c r="F342" i="3"/>
  <c r="F49" i="1"/>
  <c r="M238" i="3"/>
  <c r="M240" i="3" s="1"/>
  <c r="M248" i="3" s="1"/>
  <c r="L240" i="3"/>
  <c r="L248" i="3" s="1"/>
  <c r="G87" i="1"/>
  <c r="F132" i="1" s="1"/>
  <c r="L30" i="2" s="1"/>
  <c r="G393" i="3"/>
  <c r="F393" i="3"/>
  <c r="F59" i="1"/>
  <c r="I18" i="3"/>
  <c r="K17" i="3"/>
  <c r="L17" i="3"/>
  <c r="D42" i="1"/>
  <c r="C57" i="1"/>
  <c r="G287" i="3"/>
  <c r="F287" i="3"/>
  <c r="M328" i="3"/>
  <c r="L329" i="3"/>
  <c r="F51" i="1"/>
  <c r="J60" i="1"/>
  <c r="D135" i="1" s="1"/>
  <c r="J33" i="2" s="1"/>
  <c r="F368" i="3"/>
  <c r="G368" i="3"/>
  <c r="F52" i="1"/>
  <c r="F55" i="1"/>
  <c r="C103" i="1"/>
  <c r="D103" i="1" s="1"/>
  <c r="G444" i="3"/>
  <c r="F444" i="3"/>
  <c r="F402" i="3"/>
  <c r="F403" i="3" s="1"/>
  <c r="G402" i="3"/>
  <c r="E403" i="3"/>
  <c r="G403" i="3" s="1"/>
  <c r="F57" i="1"/>
  <c r="E72" i="1" l="1"/>
  <c r="G72" i="1" s="1"/>
  <c r="E132" i="1" s="1"/>
  <c r="K30" i="2" s="1"/>
  <c r="E34" i="1"/>
  <c r="G34" i="1" s="1"/>
  <c r="C124" i="1" s="1"/>
  <c r="E65" i="1"/>
  <c r="G65" i="1" s="1"/>
  <c r="E125" i="1" s="1"/>
  <c r="K23" i="2" s="1"/>
  <c r="G45" i="1"/>
  <c r="C135" i="1" s="1"/>
  <c r="I33" i="2" s="1"/>
  <c r="E71" i="1"/>
  <c r="G71" i="1" s="1"/>
  <c r="E131" i="1" s="1"/>
  <c r="K29" i="2" s="1"/>
  <c r="E69" i="1"/>
  <c r="G69" i="1" s="1"/>
  <c r="E129" i="1" s="1"/>
  <c r="K27" i="2" s="1"/>
  <c r="E109" i="1"/>
  <c r="F109" i="1" s="1"/>
  <c r="H124" i="1" s="1"/>
  <c r="N22" i="2" s="1"/>
  <c r="E111" i="1"/>
  <c r="F111" i="1" s="1"/>
  <c r="H126" i="1" s="1"/>
  <c r="N24" i="2" s="1"/>
  <c r="E112" i="1"/>
  <c r="F112" i="1" s="1"/>
  <c r="H127" i="1" s="1"/>
  <c r="N25" i="2" s="1"/>
  <c r="E74" i="1"/>
  <c r="G74" i="1" s="1"/>
  <c r="E134" i="1" s="1"/>
  <c r="K32" i="2" s="1"/>
  <c r="E38" i="1"/>
  <c r="G38" i="1" s="1"/>
  <c r="C128" i="1" s="1"/>
  <c r="I26" i="2" s="1"/>
  <c r="E40" i="1"/>
  <c r="G40" i="1" s="1"/>
  <c r="C130" i="1" s="1"/>
  <c r="E306" i="3" s="1"/>
  <c r="E41" i="1"/>
  <c r="G41" i="1" s="1"/>
  <c r="C131" i="1" s="1"/>
  <c r="I29" i="2" s="1"/>
  <c r="E67" i="1"/>
  <c r="G67" i="1" s="1"/>
  <c r="E127" i="1" s="1"/>
  <c r="K25" i="2" s="1"/>
  <c r="E119" i="1"/>
  <c r="F119" i="1" s="1"/>
  <c r="H134" i="1" s="1"/>
  <c r="N32" i="2" s="1"/>
  <c r="E70" i="1"/>
  <c r="G70" i="1" s="1"/>
  <c r="E130" i="1" s="1"/>
  <c r="K28" i="2" s="1"/>
  <c r="E117" i="1"/>
  <c r="F117" i="1" s="1"/>
  <c r="H132" i="1" s="1"/>
  <c r="N30" i="2" s="1"/>
  <c r="E110" i="1"/>
  <c r="F110" i="1" s="1"/>
  <c r="H125" i="1" s="1"/>
  <c r="N23" i="2" s="1"/>
  <c r="E37" i="1"/>
  <c r="G37" i="1" s="1"/>
  <c r="C127" i="1" s="1"/>
  <c r="E160" i="3" s="1"/>
  <c r="E115" i="1"/>
  <c r="F115" i="1" s="1"/>
  <c r="H130" i="1" s="1"/>
  <c r="N28" i="2" s="1"/>
  <c r="E114" i="1"/>
  <c r="F114" i="1" s="1"/>
  <c r="H129" i="1" s="1"/>
  <c r="N27" i="2" s="1"/>
  <c r="E64" i="1"/>
  <c r="G64" i="1" s="1"/>
  <c r="E124" i="1" s="1"/>
  <c r="K22" i="2" s="1"/>
  <c r="E73" i="1"/>
  <c r="G73" i="1" s="1"/>
  <c r="E133" i="1" s="1"/>
  <c r="K31" i="2" s="1"/>
  <c r="E36" i="1"/>
  <c r="G36" i="1" s="1"/>
  <c r="C126" i="1" s="1"/>
  <c r="I24" i="2" s="1"/>
  <c r="E113" i="1"/>
  <c r="F113" i="1" s="1"/>
  <c r="H128" i="1" s="1"/>
  <c r="N26" i="2" s="1"/>
  <c r="E39" i="1"/>
  <c r="G39" i="1" s="1"/>
  <c r="C129" i="1" s="1"/>
  <c r="E68" i="1"/>
  <c r="G68" i="1" s="1"/>
  <c r="E128" i="1" s="1"/>
  <c r="K26" i="2" s="1"/>
  <c r="E35" i="1"/>
  <c r="G35" i="1" s="1"/>
  <c r="C125" i="1" s="1"/>
  <c r="E52" i="3" s="1"/>
  <c r="E66" i="1"/>
  <c r="G66" i="1" s="1"/>
  <c r="E126" i="1" s="1"/>
  <c r="K24" i="2" s="1"/>
  <c r="E116" i="1"/>
  <c r="F116" i="1" s="1"/>
  <c r="H131" i="1" s="1"/>
  <c r="N29" i="2" s="1"/>
  <c r="E118" i="1"/>
  <c r="F118" i="1" s="1"/>
  <c r="H133" i="1" s="1"/>
  <c r="N31" i="2" s="1"/>
  <c r="E42" i="1"/>
  <c r="G42" i="1" s="1"/>
  <c r="C132" i="1" s="1"/>
  <c r="E340" i="3" s="1"/>
  <c r="E43" i="1"/>
  <c r="G43" i="1" s="1"/>
  <c r="C133" i="1" s="1"/>
  <c r="I31" i="2" s="1"/>
  <c r="K255" i="3"/>
  <c r="K250" i="3"/>
  <c r="K79" i="3"/>
  <c r="K472" i="3"/>
  <c r="K152" i="3"/>
  <c r="L152" i="3"/>
  <c r="M152" i="3" s="1"/>
  <c r="I155" i="3"/>
  <c r="D60" i="1"/>
  <c r="G60" i="1" s="1"/>
  <c r="D51" i="1"/>
  <c r="G51" i="1" s="1"/>
  <c r="H51" i="1" s="1"/>
  <c r="J51" i="1" s="1"/>
  <c r="D126" i="1" s="1"/>
  <c r="J24" i="2" s="1"/>
  <c r="D54" i="1"/>
  <c r="G54" i="1" s="1"/>
  <c r="H54" i="1" s="1"/>
  <c r="J54" i="1" s="1"/>
  <c r="D129" i="1" s="1"/>
  <c r="J27" i="2" s="1"/>
  <c r="D59" i="1"/>
  <c r="G59" i="1" s="1"/>
  <c r="H59" i="1" s="1"/>
  <c r="J59" i="1" s="1"/>
  <c r="D134" i="1" s="1"/>
  <c r="J32" i="2" s="1"/>
  <c r="D56" i="1"/>
  <c r="G56" i="1" s="1"/>
  <c r="H56" i="1" s="1"/>
  <c r="J56" i="1" s="1"/>
  <c r="D131" i="1" s="1"/>
  <c r="J29" i="2" s="1"/>
  <c r="D55" i="1"/>
  <c r="G55" i="1" s="1"/>
  <c r="H55" i="1" s="1"/>
  <c r="J55" i="1" s="1"/>
  <c r="D130" i="1" s="1"/>
  <c r="J28" i="2" s="1"/>
  <c r="D53" i="1"/>
  <c r="G53" i="1" s="1"/>
  <c r="H53" i="1" s="1"/>
  <c r="J53" i="1" s="1"/>
  <c r="D128" i="1" s="1"/>
  <c r="J26" i="2" s="1"/>
  <c r="D49" i="1"/>
  <c r="G49" i="1" s="1"/>
  <c r="H49" i="1" s="1"/>
  <c r="J49" i="1" s="1"/>
  <c r="D124" i="1" s="1"/>
  <c r="J22" i="2" s="1"/>
  <c r="D50" i="1"/>
  <c r="G50" i="1" s="1"/>
  <c r="H50" i="1" s="1"/>
  <c r="J50" i="1" s="1"/>
  <c r="D125" i="1" s="1"/>
  <c r="J23" i="2" s="1"/>
  <c r="D52" i="1"/>
  <c r="G52" i="1" s="1"/>
  <c r="H52" i="1" s="1"/>
  <c r="J52" i="1" s="1"/>
  <c r="D127" i="1" s="1"/>
  <c r="J25" i="2" s="1"/>
  <c r="D58" i="1"/>
  <c r="G58" i="1" s="1"/>
  <c r="H58" i="1" s="1"/>
  <c r="J58" i="1" s="1"/>
  <c r="D133" i="1" s="1"/>
  <c r="J31" i="2" s="1"/>
  <c r="K153" i="3"/>
  <c r="K161" i="3" s="1"/>
  <c r="F399" i="3"/>
  <c r="F413" i="3" s="1"/>
  <c r="G399" i="3"/>
  <c r="K93" i="3"/>
  <c r="F411" i="3"/>
  <c r="G411" i="3"/>
  <c r="K51" i="3"/>
  <c r="K54" i="3" s="1"/>
  <c r="L51" i="3"/>
  <c r="M51" i="3" s="1"/>
  <c r="I52" i="3"/>
  <c r="E211" i="3"/>
  <c r="E192" i="3"/>
  <c r="M427" i="3"/>
  <c r="L93" i="3"/>
  <c r="M92" i="3"/>
  <c r="L66" i="3"/>
  <c r="I67" i="3"/>
  <c r="K66" i="3"/>
  <c r="M124" i="3"/>
  <c r="M112" i="3"/>
  <c r="K437" i="3"/>
  <c r="I438" i="3"/>
  <c r="L437" i="3"/>
  <c r="I30" i="2"/>
  <c r="L249" i="3"/>
  <c r="L255" i="3" s="1"/>
  <c r="K118" i="3"/>
  <c r="I119" i="3"/>
  <c r="L118" i="3"/>
  <c r="L333" i="3"/>
  <c r="L341" i="3" s="1"/>
  <c r="M331" i="3"/>
  <c r="M333" i="3" s="1"/>
  <c r="M341" i="3" s="1"/>
  <c r="L435" i="3"/>
  <c r="F125" i="3"/>
  <c r="G125" i="3"/>
  <c r="E126" i="3"/>
  <c r="G126" i="3" s="1"/>
  <c r="K95" i="3"/>
  <c r="L95" i="3"/>
  <c r="I96" i="3"/>
  <c r="I457" i="3"/>
  <c r="K456" i="3"/>
  <c r="L456" i="3"/>
  <c r="C102" i="1"/>
  <c r="D102" i="1" s="1"/>
  <c r="D57" i="1"/>
  <c r="G57" i="1" s="1"/>
  <c r="H57" i="1" s="1"/>
  <c r="J57" i="1" s="1"/>
  <c r="D132" i="1" s="1"/>
  <c r="J30" i="2" s="1"/>
  <c r="K333" i="3"/>
  <c r="K341" i="3" s="1"/>
  <c r="M435" i="3"/>
  <c r="M149" i="3"/>
  <c r="M49" i="3"/>
  <c r="L332" i="3"/>
  <c r="M332" i="3" s="1"/>
  <c r="K332" i="3"/>
  <c r="I335" i="3"/>
  <c r="D120" i="1"/>
  <c r="G407" i="3"/>
  <c r="E412" i="3"/>
  <c r="L49" i="3"/>
  <c r="L54" i="3" s="1"/>
  <c r="L79" i="3"/>
  <c r="L153" i="3"/>
  <c r="L161" i="3" s="1"/>
  <c r="M151" i="3"/>
  <c r="M153" i="3" s="1"/>
  <c r="M161" i="3" s="1"/>
  <c r="L254" i="3"/>
  <c r="L250" i="3"/>
  <c r="L472" i="3"/>
  <c r="M254" i="3"/>
  <c r="M329" i="3"/>
  <c r="L19" i="3"/>
  <c r="M17" i="3"/>
  <c r="M19" i="3" s="1"/>
  <c r="I282" i="3"/>
  <c r="K279" i="3"/>
  <c r="L279" i="3"/>
  <c r="M279" i="3" s="1"/>
  <c r="K19" i="3"/>
  <c r="L280" i="3"/>
  <c r="M278" i="3"/>
  <c r="M280" i="3" s="1"/>
  <c r="I22" i="2"/>
  <c r="E22" i="3"/>
  <c r="K18" i="3"/>
  <c r="L18" i="3"/>
  <c r="M18" i="3" s="1"/>
  <c r="I21" i="3"/>
  <c r="K280" i="3"/>
  <c r="M79" i="3"/>
  <c r="I27" i="2"/>
  <c r="E247" i="3"/>
  <c r="M247" i="3" s="1"/>
  <c r="D31" i="2" s="1"/>
  <c r="I9" i="2" s="1"/>
  <c r="K187" i="3"/>
  <c r="L187" i="3"/>
  <c r="I188" i="3"/>
  <c r="F105" i="1"/>
  <c r="G105" i="1" s="1"/>
  <c r="F100" i="1"/>
  <c r="G100" i="1" s="1"/>
  <c r="H100" i="1" s="1"/>
  <c r="J100" i="1" s="1"/>
  <c r="G130" i="1" s="1"/>
  <c r="M28" i="2" s="1"/>
  <c r="F94" i="1"/>
  <c r="G94" i="1" s="1"/>
  <c r="H94" i="1" s="1"/>
  <c r="J94" i="1" s="1"/>
  <c r="G124" i="1" s="1"/>
  <c r="M22" i="2" s="1"/>
  <c r="F96" i="1"/>
  <c r="G96" i="1" s="1"/>
  <c r="H96" i="1" s="1"/>
  <c r="J96" i="1" s="1"/>
  <c r="G126" i="1" s="1"/>
  <c r="M24" i="2" s="1"/>
  <c r="F102" i="1"/>
  <c r="F98" i="1"/>
  <c r="G98" i="1" s="1"/>
  <c r="H98" i="1" s="1"/>
  <c r="J98" i="1" s="1"/>
  <c r="G128" i="1" s="1"/>
  <c r="M26" i="2" s="1"/>
  <c r="F97" i="1"/>
  <c r="G97" i="1" s="1"/>
  <c r="H97" i="1" s="1"/>
  <c r="J97" i="1" s="1"/>
  <c r="G127" i="1" s="1"/>
  <c r="M25" i="2" s="1"/>
  <c r="F99" i="1"/>
  <c r="G99" i="1" s="1"/>
  <c r="H99" i="1" s="1"/>
  <c r="J99" i="1" s="1"/>
  <c r="G129" i="1" s="1"/>
  <c r="M27" i="2" s="1"/>
  <c r="F95" i="1"/>
  <c r="G95" i="1" s="1"/>
  <c r="H95" i="1" s="1"/>
  <c r="J95" i="1" s="1"/>
  <c r="G125" i="1" s="1"/>
  <c r="M23" i="2" s="1"/>
  <c r="F103" i="1"/>
  <c r="G103" i="1" s="1"/>
  <c r="H103" i="1" s="1"/>
  <c r="J103" i="1" s="1"/>
  <c r="G133" i="1" s="1"/>
  <c r="M31" i="2" s="1"/>
  <c r="F101" i="1"/>
  <c r="G101" i="1" s="1"/>
  <c r="H101" i="1" s="1"/>
  <c r="J101" i="1" s="1"/>
  <c r="G131" i="1" s="1"/>
  <c r="M29" i="2" s="1"/>
  <c r="F104" i="1"/>
  <c r="G104" i="1" s="1"/>
  <c r="H104" i="1" s="1"/>
  <c r="J104" i="1" s="1"/>
  <c r="G134" i="1" s="1"/>
  <c r="M32" i="2" s="1"/>
  <c r="K256" i="3"/>
  <c r="E464" i="3" l="1"/>
  <c r="E441" i="3"/>
  <c r="M441" i="3" s="1"/>
  <c r="I25" i="2"/>
  <c r="E71" i="3"/>
  <c r="I23" i="2"/>
  <c r="I28" i="2"/>
  <c r="E284" i="3"/>
  <c r="M52" i="3"/>
  <c r="M54" i="3" s="1"/>
  <c r="E123" i="3"/>
  <c r="E104" i="3"/>
  <c r="K55" i="3"/>
  <c r="K166" i="3"/>
  <c r="K288" i="3"/>
  <c r="K21" i="3"/>
  <c r="L21" i="3"/>
  <c r="M21" i="3" s="1"/>
  <c r="M24" i="3" s="1"/>
  <c r="M25" i="3" s="1"/>
  <c r="I22" i="3"/>
  <c r="F412" i="3"/>
  <c r="G412" i="3"/>
  <c r="K347" i="3"/>
  <c r="L444" i="3"/>
  <c r="I441" i="3"/>
  <c r="K441" i="3" s="1"/>
  <c r="K438" i="3"/>
  <c r="I443" i="3"/>
  <c r="I444" i="3" s="1"/>
  <c r="L438" i="3"/>
  <c r="M438" i="3" s="1"/>
  <c r="K439" i="3"/>
  <c r="G102" i="1"/>
  <c r="H102" i="1" s="1"/>
  <c r="J102" i="1" s="1"/>
  <c r="G132" i="1" s="1"/>
  <c r="M30" i="2" s="1"/>
  <c r="L347" i="3"/>
  <c r="M22" i="3"/>
  <c r="D6" i="2" s="1"/>
  <c r="I4" i="2" s="1"/>
  <c r="K335" i="3"/>
  <c r="L335" i="3"/>
  <c r="I336" i="3"/>
  <c r="L120" i="3"/>
  <c r="M118" i="3"/>
  <c r="M120" i="3" s="1"/>
  <c r="E413" i="3"/>
  <c r="G413" i="3" s="1"/>
  <c r="K68" i="3"/>
  <c r="L439" i="3"/>
  <c r="M437" i="3"/>
  <c r="M439" i="3" s="1"/>
  <c r="M347" i="3"/>
  <c r="I122" i="3"/>
  <c r="K119" i="3"/>
  <c r="L119" i="3"/>
  <c r="M119" i="3" s="1"/>
  <c r="L458" i="3"/>
  <c r="M456" i="3"/>
  <c r="M458" i="3" s="1"/>
  <c r="K120" i="3"/>
  <c r="I70" i="3"/>
  <c r="K67" i="3"/>
  <c r="L67" i="3"/>
  <c r="M67" i="3" s="1"/>
  <c r="L288" i="3"/>
  <c r="M66" i="3"/>
  <c r="M68" i="3" s="1"/>
  <c r="L68" i="3"/>
  <c r="K24" i="3"/>
  <c r="I460" i="3"/>
  <c r="K457" i="3"/>
  <c r="K458" i="3" s="1"/>
  <c r="L457" i="3"/>
  <c r="M457" i="3" s="1"/>
  <c r="K444" i="3"/>
  <c r="I191" i="3"/>
  <c r="K188" i="3"/>
  <c r="L188" i="3"/>
  <c r="M188" i="3" s="1"/>
  <c r="I99" i="3"/>
  <c r="K96" i="3"/>
  <c r="L96" i="3"/>
  <c r="M96" i="3" s="1"/>
  <c r="L97" i="3"/>
  <c r="L105" i="3" s="1"/>
  <c r="M95" i="3"/>
  <c r="M97" i="3" s="1"/>
  <c r="M105" i="3" s="1"/>
  <c r="M129" i="3" s="1"/>
  <c r="L166" i="3"/>
  <c r="K97" i="3"/>
  <c r="K105" i="3" s="1"/>
  <c r="K155" i="3"/>
  <c r="L155" i="3"/>
  <c r="I156" i="3"/>
  <c r="L256" i="3"/>
  <c r="C30" i="2"/>
  <c r="C32" i="2" s="1"/>
  <c r="L55" i="3"/>
  <c r="L189" i="3"/>
  <c r="M187" i="3"/>
  <c r="M189" i="3" s="1"/>
  <c r="M93" i="3"/>
  <c r="K189" i="3"/>
  <c r="M166" i="3"/>
  <c r="L282" i="3"/>
  <c r="M282" i="3" s="1"/>
  <c r="I283" i="3"/>
  <c r="K282" i="3"/>
  <c r="M249" i="3"/>
  <c r="M135" i="3" l="1"/>
  <c r="M30" i="3"/>
  <c r="K316" i="3"/>
  <c r="K317" i="3" s="1"/>
  <c r="K289" i="3"/>
  <c r="L24" i="3"/>
  <c r="K125" i="3"/>
  <c r="M55" i="3"/>
  <c r="M255" i="3"/>
  <c r="M250" i="3"/>
  <c r="L129" i="3"/>
  <c r="L316" i="3"/>
  <c r="L289" i="3"/>
  <c r="I100" i="3"/>
  <c r="K99" i="3"/>
  <c r="L99" i="3"/>
  <c r="L156" i="3"/>
  <c r="M156" i="3" s="1"/>
  <c r="I159" i="3"/>
  <c r="K156" i="3"/>
  <c r="L467" i="3"/>
  <c r="L468" i="3" s="1"/>
  <c r="M444" i="3"/>
  <c r="K122" i="3"/>
  <c r="I123" i="3"/>
  <c r="M123" i="3" s="1"/>
  <c r="M125" i="3" s="1"/>
  <c r="L122" i="3"/>
  <c r="M122" i="3" s="1"/>
  <c r="M283" i="3"/>
  <c r="I284" i="3"/>
  <c r="M284" i="3" s="1"/>
  <c r="D36" i="2" s="1"/>
  <c r="I10" i="2" s="1"/>
  <c r="L283" i="3"/>
  <c r="K283" i="3"/>
  <c r="K70" i="3"/>
  <c r="K73" i="3" s="1"/>
  <c r="I71" i="3"/>
  <c r="M71" i="3" s="1"/>
  <c r="D11" i="2" s="1"/>
  <c r="I5" i="2" s="1"/>
  <c r="L70" i="3"/>
  <c r="L73" i="3" s="1"/>
  <c r="M155" i="3"/>
  <c r="K191" i="3"/>
  <c r="K194" i="3" s="1"/>
  <c r="L191" i="3"/>
  <c r="M191" i="3" s="1"/>
  <c r="I192" i="3"/>
  <c r="L125" i="3"/>
  <c r="K337" i="3"/>
  <c r="K30" i="3"/>
  <c r="K31" i="3" s="1"/>
  <c r="L194" i="3"/>
  <c r="K157" i="3"/>
  <c r="K445" i="3"/>
  <c r="I339" i="3"/>
  <c r="K336" i="3"/>
  <c r="L336" i="3"/>
  <c r="M336" i="3" s="1"/>
  <c r="L445" i="3"/>
  <c r="K129" i="3"/>
  <c r="I461" i="3"/>
  <c r="K460" i="3"/>
  <c r="L460" i="3"/>
  <c r="M335" i="3"/>
  <c r="M337" i="3" s="1"/>
  <c r="L337" i="3"/>
  <c r="L74" i="3" l="1"/>
  <c r="L80" i="3"/>
  <c r="K195" i="3"/>
  <c r="K74" i="3"/>
  <c r="K80" i="3"/>
  <c r="K81" i="3" s="1"/>
  <c r="I160" i="3"/>
  <c r="M160" i="3" s="1"/>
  <c r="D21" i="2" s="1"/>
  <c r="I7" i="2" s="1"/>
  <c r="K159" i="3"/>
  <c r="L159" i="3"/>
  <c r="M159" i="3" s="1"/>
  <c r="M126" i="3"/>
  <c r="K162" i="3"/>
  <c r="K126" i="3"/>
  <c r="L462" i="3"/>
  <c r="M460" i="3"/>
  <c r="M99" i="3"/>
  <c r="K100" i="3"/>
  <c r="L100" i="3"/>
  <c r="M100" i="3" s="1"/>
  <c r="I103" i="3"/>
  <c r="M288" i="3"/>
  <c r="L195" i="3"/>
  <c r="L30" i="3"/>
  <c r="M73" i="3"/>
  <c r="K135" i="3"/>
  <c r="K342" i="3"/>
  <c r="L135" i="3"/>
  <c r="K461" i="3"/>
  <c r="K462" i="3" s="1"/>
  <c r="L461" i="3"/>
  <c r="M461" i="3" s="1"/>
  <c r="I464" i="3"/>
  <c r="L126" i="3"/>
  <c r="L473" i="3"/>
  <c r="L339" i="3"/>
  <c r="M339" i="3" s="1"/>
  <c r="I340" i="3"/>
  <c r="M340" i="3" s="1"/>
  <c r="D46" i="2" s="1"/>
  <c r="I12" i="2" s="1"/>
  <c r="K339" i="3"/>
  <c r="L342" i="3"/>
  <c r="K101" i="3"/>
  <c r="L317" i="3"/>
  <c r="C35" i="2"/>
  <c r="C37" i="2" s="1"/>
  <c r="I198" i="3"/>
  <c r="M192" i="3"/>
  <c r="M194" i="3" s="1"/>
  <c r="D5" i="2"/>
  <c r="M31" i="3"/>
  <c r="M157" i="3"/>
  <c r="L157" i="3"/>
  <c r="M445" i="3"/>
  <c r="D30" i="2"/>
  <c r="M256" i="3"/>
  <c r="N256" i="3" s="1"/>
  <c r="K467" i="3"/>
  <c r="M342" i="3" l="1"/>
  <c r="M343" i="3" s="1"/>
  <c r="K464" i="3"/>
  <c r="M464" i="3"/>
  <c r="D41" i="2" s="1"/>
  <c r="I11" i="2" s="1"/>
  <c r="L31" i="3"/>
  <c r="C5" i="2"/>
  <c r="C7" i="2" s="1"/>
  <c r="M101" i="3"/>
  <c r="K348" i="3"/>
  <c r="K349" i="3" s="1"/>
  <c r="K343" i="3"/>
  <c r="L348" i="3"/>
  <c r="L343" i="3"/>
  <c r="K468" i="3"/>
  <c r="K473" i="3"/>
  <c r="K474" i="3" s="1"/>
  <c r="C40" i="2"/>
  <c r="C42" i="2" s="1"/>
  <c r="L474" i="3"/>
  <c r="M162" i="3"/>
  <c r="M195" i="3"/>
  <c r="K198" i="3"/>
  <c r="I199" i="3"/>
  <c r="L198" i="3"/>
  <c r="L101" i="3"/>
  <c r="K167" i="3"/>
  <c r="K168" i="3" s="1"/>
  <c r="K163" i="3"/>
  <c r="I104" i="3"/>
  <c r="M104" i="3" s="1"/>
  <c r="D16" i="2" s="1"/>
  <c r="I6" i="2" s="1"/>
  <c r="K103" i="3"/>
  <c r="L103" i="3"/>
  <c r="M103" i="3" s="1"/>
  <c r="C10" i="2"/>
  <c r="C12" i="2" s="1"/>
  <c r="L81" i="3"/>
  <c r="K106" i="3"/>
  <c r="M74" i="3"/>
  <c r="M80" i="3"/>
  <c r="E30" i="2"/>
  <c r="D32" i="2"/>
  <c r="E32" i="2" s="1"/>
  <c r="J9" i="2" s="1"/>
  <c r="L162" i="3"/>
  <c r="M316" i="3"/>
  <c r="M289" i="3"/>
  <c r="N31" i="3"/>
  <c r="E5" i="2"/>
  <c r="D7" i="2"/>
  <c r="E7" i="2" s="1"/>
  <c r="J4" i="2" s="1"/>
  <c r="M462" i="3"/>
  <c r="M467" i="3" l="1"/>
  <c r="M348" i="3"/>
  <c r="M349" i="3" s="1"/>
  <c r="N349" i="3" s="1"/>
  <c r="L349" i="3"/>
  <c r="C45" i="2"/>
  <c r="C47" i="2" s="1"/>
  <c r="K107" i="3"/>
  <c r="K130" i="3"/>
  <c r="M198" i="3"/>
  <c r="K199" i="3"/>
  <c r="L199" i="3"/>
  <c r="I202" i="3"/>
  <c r="L167" i="3"/>
  <c r="L163" i="3"/>
  <c r="K200" i="3"/>
  <c r="M106" i="3"/>
  <c r="M468" i="3"/>
  <c r="M473" i="3"/>
  <c r="L106" i="3"/>
  <c r="M317" i="3"/>
  <c r="N317" i="3" s="1"/>
  <c r="D35" i="2"/>
  <c r="D10" i="2"/>
  <c r="M81" i="3"/>
  <c r="N81" i="3" s="1"/>
  <c r="M167" i="3"/>
  <c r="M163" i="3"/>
  <c r="D45" i="2" l="1"/>
  <c r="E45" i="2" s="1"/>
  <c r="M107" i="3"/>
  <c r="M130" i="3"/>
  <c r="L168" i="3"/>
  <c r="C20" i="2"/>
  <c r="C22" i="2" s="1"/>
  <c r="K202" i="3"/>
  <c r="L202" i="3"/>
  <c r="I203" i="3"/>
  <c r="M199" i="3"/>
  <c r="M168" i="3"/>
  <c r="N168" i="3" s="1"/>
  <c r="D20" i="2"/>
  <c r="E10" i="2"/>
  <c r="D12" i="2"/>
  <c r="E12" i="2" s="1"/>
  <c r="J5" i="2" s="1"/>
  <c r="E35" i="2"/>
  <c r="D37" i="2"/>
  <c r="E37" i="2" s="1"/>
  <c r="J10" i="2" s="1"/>
  <c r="L107" i="3"/>
  <c r="L130" i="3"/>
  <c r="L200" i="3"/>
  <c r="K136" i="3"/>
  <c r="K137" i="3" s="1"/>
  <c r="K131" i="3"/>
  <c r="M474" i="3"/>
  <c r="N474" i="3" s="1"/>
  <c r="D40" i="2"/>
  <c r="D47" i="2" l="1"/>
  <c r="E47" i="2" s="1"/>
  <c r="J12" i="2" s="1"/>
  <c r="E20" i="2"/>
  <c r="D22" i="2"/>
  <c r="E22" i="2" s="1"/>
  <c r="J7" i="2" s="1"/>
  <c r="K203" i="3"/>
  <c r="L203" i="3"/>
  <c r="M203" i="3" s="1"/>
  <c r="I206" i="3"/>
  <c r="M202" i="3"/>
  <c r="M204" i="3" s="1"/>
  <c r="M212" i="3" s="1"/>
  <c r="L204" i="3"/>
  <c r="L212" i="3" s="1"/>
  <c r="E40" i="2"/>
  <c r="D42" i="2"/>
  <c r="E42" i="2" s="1"/>
  <c r="J11" i="2" s="1"/>
  <c r="M200" i="3"/>
  <c r="K204" i="3"/>
  <c r="K212" i="3" s="1"/>
  <c r="M136" i="3"/>
  <c r="M131" i="3"/>
  <c r="L136" i="3"/>
  <c r="L131" i="3"/>
  <c r="D15" i="2" l="1"/>
  <c r="M137" i="3"/>
  <c r="L217" i="3"/>
  <c r="C15" i="2"/>
  <c r="C17" i="2" s="1"/>
  <c r="L137" i="3"/>
  <c r="K217" i="3"/>
  <c r="M217" i="3"/>
  <c r="I207" i="3"/>
  <c r="K206" i="3"/>
  <c r="L206" i="3"/>
  <c r="M206" i="3" l="1"/>
  <c r="I210" i="3"/>
  <c r="K207" i="3"/>
  <c r="L207" i="3"/>
  <c r="M207" i="3" s="1"/>
  <c r="K223" i="3"/>
  <c r="M223" i="3"/>
  <c r="L223" i="3"/>
  <c r="N137" i="3"/>
  <c r="K208" i="3"/>
  <c r="E15" i="2"/>
  <c r="D17" i="2"/>
  <c r="E17" i="2" s="1"/>
  <c r="J6" i="2" s="1"/>
  <c r="K210" i="3" l="1"/>
  <c r="I211" i="3"/>
  <c r="M211" i="3" s="1"/>
  <c r="D26" i="2" s="1"/>
  <c r="I8" i="2" s="1"/>
  <c r="L210" i="3"/>
  <c r="M210" i="3" s="1"/>
  <c r="K213" i="3"/>
  <c r="L208" i="3"/>
  <c r="L213" i="3" s="1"/>
  <c r="M208" i="3"/>
  <c r="M213" i="3" l="1"/>
  <c r="M214" i="3" s="1"/>
  <c r="M218" i="3"/>
  <c r="L218" i="3"/>
  <c r="L214" i="3"/>
  <c r="K218" i="3"/>
  <c r="K214" i="3"/>
  <c r="K224" i="3" l="1"/>
  <c r="K225" i="3" s="1"/>
  <c r="K219" i="3"/>
  <c r="L224" i="3"/>
  <c r="L219" i="3"/>
  <c r="M224" i="3"/>
  <c r="M219" i="3"/>
  <c r="D25" i="2" l="1"/>
  <c r="M225" i="3"/>
  <c r="C25" i="2"/>
  <c r="C27" i="2" s="1"/>
  <c r="L225" i="3"/>
  <c r="N225" i="3" l="1"/>
  <c r="E25" i="2"/>
  <c r="D27" i="2"/>
  <c r="E27" i="2" s="1"/>
  <c r="J8" i="2" s="1"/>
</calcChain>
</file>

<file path=xl/sharedStrings.xml><?xml version="1.0" encoding="utf-8"?>
<sst xmlns="http://schemas.openxmlformats.org/spreadsheetml/2006/main" count="925" uniqueCount="142">
  <si>
    <t>2027/28 Fee Recovery Calculation</t>
  </si>
  <si>
    <t>Total Fees Dec-2026 to Mar-2027</t>
  </si>
  <si>
    <t>NSPI Interm Fee (Feb-2026 to Nov-2026)</t>
  </si>
  <si>
    <t>Fees Apr-2027 to Mar-2028</t>
  </si>
  <si>
    <t>NSPI Recovery</t>
  </si>
  <si>
    <t># of Months of Disposition</t>
  </si>
  <si>
    <t>Fees Recovered Apr-27 to Mar-28</t>
  </si>
  <si>
    <t>Rate Class Characteristics</t>
  </si>
  <si>
    <t>Energy Allocator</t>
  </si>
  <si>
    <t>Demand Allocator</t>
  </si>
  <si>
    <t>Customer Count</t>
  </si>
  <si>
    <t>Billed MWh</t>
  </si>
  <si>
    <t>12CP</t>
  </si>
  <si>
    <t>2027 Forecast MWh (with losses)</t>
  </si>
  <si>
    <t>%</t>
  </si>
  <si>
    <t>3CP</t>
  </si>
  <si>
    <t>Customers</t>
  </si>
  <si>
    <t>2027 Forecast Billed MWh</t>
  </si>
  <si>
    <t>Residential</t>
  </si>
  <si>
    <t>Small General</t>
  </si>
  <si>
    <t>General</t>
  </si>
  <si>
    <t>Large General</t>
  </si>
  <si>
    <t>Small Industrial</t>
  </si>
  <si>
    <t>Medium Industrial</t>
  </si>
  <si>
    <t>Large Industrial</t>
  </si>
  <si>
    <t>PHP</t>
  </si>
  <si>
    <t>Municipal - Lunenburg</t>
  </si>
  <si>
    <t>Lunenburg % of Municipal Load</t>
  </si>
  <si>
    <t>Unmetered</t>
  </si>
  <si>
    <t>Below the Line</t>
  </si>
  <si>
    <t>Total</t>
  </si>
  <si>
    <t>Fee Allocation Options</t>
  </si>
  <si>
    <t>Option 1: Energy Allocator</t>
  </si>
  <si>
    <t>MWh %</t>
  </si>
  <si>
    <t>Allocated Revenue Requirement</t>
  </si>
  <si>
    <r>
      <rPr>
        <b/>
        <sz val="11"/>
        <color theme="0"/>
        <rFont val="Aptos Narrow"/>
        <family val="2"/>
      </rPr>
      <t>¢</t>
    </r>
    <r>
      <rPr>
        <b/>
        <sz val="11"/>
        <color theme="0"/>
        <rFont val="Aptos Narrow"/>
        <family val="2"/>
        <scheme val="minor"/>
      </rPr>
      <t>/kWh</t>
    </r>
  </si>
  <si>
    <t>Pros</t>
  </si>
  <si>
    <t>- Consistent with method IESO allocates costs to MPs</t>
  </si>
  <si>
    <t>Cons</t>
  </si>
  <si>
    <t>- Inconsistent with allocation of costs when system operator was within NSP</t>
  </si>
  <si>
    <t>Option 2: System Load Factor</t>
  </si>
  <si>
    <t>3CP %</t>
  </si>
  <si>
    <t>System Load Factor-Weighted</t>
  </si>
  <si>
    <t>- Consistent with method NSP allocates generation and had allocated transmission prior to 2026/27 GRA</t>
  </si>
  <si>
    <t>- Inconsistent with method NSP would allocate system operator costs in revised methodology</t>
  </si>
  <si>
    <t>- Inconsistent with method IESO allocates costs to MPs</t>
  </si>
  <si>
    <t>Municipal</t>
  </si>
  <si>
    <t>Energy % (SLF)</t>
  </si>
  <si>
    <t>Demand %</t>
  </si>
  <si>
    <t>Option 3: Demand Allocator</t>
  </si>
  <si>
    <t>- Consistent with method NSP allocates transmission in 2026/27 GRA</t>
  </si>
  <si>
    <t>- Inconsistent with method NSP has allocated system operator costs</t>
  </si>
  <si>
    <t>Option 4: 12CP (OATT)</t>
  </si>
  <si>
    <t>12CP %</t>
  </si>
  <si>
    <t>- Consistent with method costs are recovered under the OATT</t>
  </si>
  <si>
    <t>- NSP does not currently allocate any costs using the 12CP</t>
  </si>
  <si>
    <t>Option 5: System Load Factor for Generation , Demand for Transmission</t>
  </si>
  <si>
    <t>Generation/Transmission Weighted</t>
  </si>
  <si>
    <t>- Consistent with method NSP allocates generation and transmission</t>
  </si>
  <si>
    <t>- Need to define % of costs related to generation and % related to transmission</t>
  </si>
  <si>
    <t>Transmission</t>
  </si>
  <si>
    <t>Generation</t>
  </si>
  <si>
    <t>(To be Determined)</t>
  </si>
  <si>
    <t>Option 6: Billed MWh</t>
  </si>
  <si>
    <t>- Simple approach</t>
  </si>
  <si>
    <t>- Some consistency with other jurisdictions</t>
  </si>
  <si>
    <t>- Does not consider cost causality</t>
  </si>
  <si>
    <t>Options Summary ¢/kWh</t>
  </si>
  <si>
    <t>Option 5: SLF for Gen , Demand for Tx</t>
  </si>
  <si>
    <t>Total (Average)</t>
  </si>
  <si>
    <t>2027 with IESO Fee</t>
  </si>
  <si>
    <t>% Increase</t>
  </si>
  <si>
    <t>Impact of IESO Fee on 2027 Total Bills</t>
  </si>
  <si>
    <t>Rate Class</t>
  </si>
  <si>
    <t>Monthly Fee</t>
  </si>
  <si>
    <t>% Total Bill Increase</t>
  </si>
  <si>
    <t>Customer Charge</t>
  </si>
  <si>
    <t>Energy Charges</t>
  </si>
  <si>
    <t>Illustrative IESO Fee</t>
  </si>
  <si>
    <t>Total Bill</t>
  </si>
  <si>
    <t xml:space="preserve">Demand Charge </t>
  </si>
  <si>
    <t>Allocation Scenario (dropdown):</t>
  </si>
  <si>
    <t>Municipal (Lunenburg)</t>
  </si>
  <si>
    <t>RATE SCHEDULES</t>
  </si>
  <si>
    <t>Average Bill Calculation</t>
  </si>
  <si>
    <t>units</t>
  </si>
  <si>
    <t>Variance</t>
  </si>
  <si>
    <t>% Variance</t>
  </si>
  <si>
    <t>Charge Determinant</t>
  </si>
  <si>
    <t>Unit</t>
  </si>
  <si>
    <t>2027 with Fee</t>
  </si>
  <si>
    <t>Domestic Service Tariff (Standard Offer)</t>
  </si>
  <si>
    <t>$/mo</t>
  </si>
  <si>
    <t>Customer</t>
  </si>
  <si>
    <t xml:space="preserve">      Base cost of fuel</t>
  </si>
  <si>
    <t>¢/kWh</t>
  </si>
  <si>
    <t>kWh</t>
  </si>
  <si>
    <t xml:space="preserve">      Non-fuel</t>
  </si>
  <si>
    <t xml:space="preserve">      Subtotal</t>
  </si>
  <si>
    <t xml:space="preserve">      FAM AA</t>
  </si>
  <si>
    <t xml:space="preserve">      FAM BA</t>
  </si>
  <si>
    <t xml:space="preserve">      DSM PCR</t>
  </si>
  <si>
    <t xml:space="preserve">      DSM BA</t>
  </si>
  <si>
    <t xml:space="preserve">      SCRR</t>
  </si>
  <si>
    <t xml:space="preserve">      IESO RR</t>
  </si>
  <si>
    <t xml:space="preserve">      Fuel-related in aggregate</t>
  </si>
  <si>
    <t xml:space="preserve">      Non-fuel related in aggregate</t>
  </si>
  <si>
    <t xml:space="preserve">      Total</t>
  </si>
  <si>
    <t>Total Bill Calculation</t>
  </si>
  <si>
    <t xml:space="preserve">      Customer Charge</t>
  </si>
  <si>
    <t xml:space="preserve">      Total Bill</t>
  </si>
  <si>
    <t>Small General Tariff (Standard Offer)</t>
  </si>
  <si>
    <t xml:space="preserve">  First 200 kWh Block</t>
  </si>
  <si>
    <t xml:space="preserve">      Total </t>
  </si>
  <si>
    <t xml:space="preserve">  All Additional KWhs</t>
  </si>
  <si>
    <t>General Tariff (Standard Offer)</t>
  </si>
  <si>
    <t>$/kW</t>
  </si>
  <si>
    <t>kVA</t>
  </si>
  <si>
    <t>Transformer Ownership Credit</t>
  </si>
  <si>
    <t>¢/kVA</t>
  </si>
  <si>
    <t xml:space="preserve">  First 200 kWhs per kW of Max Demand</t>
  </si>
  <si>
    <t>Both Blocks:</t>
  </si>
  <si>
    <t xml:space="preserve">      Demand Charge</t>
  </si>
  <si>
    <t>Large General Tariff</t>
  </si>
  <si>
    <t>Demand Charge (Ratcheted)</t>
  </si>
  <si>
    <t>$/kVA</t>
  </si>
  <si>
    <t>Small Industrial Tariff</t>
  </si>
  <si>
    <t xml:space="preserve">  First 200 kWhs per kVA of Max Demand</t>
  </si>
  <si>
    <t>Medium Industrial Tariff</t>
  </si>
  <si>
    <t>Large Industrial Tariff</t>
  </si>
  <si>
    <t>Interruptible Credit</t>
  </si>
  <si>
    <t>Distribution Cost Adder</t>
  </si>
  <si>
    <t xml:space="preserve">  Firm</t>
  </si>
  <si>
    <t xml:space="preserve">      SCRR (Transmission)</t>
  </si>
  <si>
    <t xml:space="preserve">      SCRR (Distribution)</t>
  </si>
  <si>
    <t xml:space="preserve">  Interruptible</t>
  </si>
  <si>
    <t>Municipal Tariff</t>
  </si>
  <si>
    <t>Outdoor Recreational Lighting Tariff</t>
  </si>
  <si>
    <t>Unmetered Service Rates:   Miscellaneous Lighting &amp; Small Loads</t>
  </si>
  <si>
    <t>Demand Charge</t>
  </si>
  <si>
    <t>Extra Large Industrial Dispatchable</t>
  </si>
  <si>
    <t>Demand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</si>
</sst>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.000_-;\-* #,##0.000_-;_-* &quot;-&quot;??_-;_-@_-"/>
    <numFmt numFmtId="167" formatCode="_-* #,##0.00000_-;\-* #,##0.00000_-;_-* &quot;-&quot;??_-;_-@_-"/>
    <numFmt numFmtId="168" formatCode="_-* #,##0_-;\-* #,##0_-;_-* &quot;-&quot;??_-;_-@_-"/>
    <numFmt numFmtId="169" formatCode="0.0%"/>
    <numFmt numFmtId="170" formatCode="_-* #,##0.00000_-;\-* #,##0.00000_-;_-* &quot;-&quot;?????_-;_-@_-"/>
    <numFmt numFmtId="171" formatCode="_-&quot;$&quot;* #,##0_-;\-&quot;$&quot;* #,##0_-;_-&quot;$&quot;* &quot;-&quot;??_-;_-@_-"/>
    <numFmt numFmtId="172" formatCode="0.0000"/>
    <numFmt numFmtId="173" formatCode="0.000"/>
    <numFmt numFmtId="174" formatCode="_(* #,##0_);_(* \(#,##0\);_(* &quot;-&quot;??_);_(@_)"/>
    <numFmt numFmtId="175" formatCode="_-* #,##0.0_-;\-* #,##0.0_-;_-* &quot;-&quot;??_-;_-@_-"/>
    <numFmt numFmtId="176" formatCode="0.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ariff_Table_no2"/>
    </font>
    <font>
      <sz val="10"/>
      <name val="Tariff_Table_no2"/>
    </font>
    <font>
      <u/>
      <sz val="10"/>
      <name val="Tariff_Table_no2"/>
    </font>
    <font>
      <u val="singleAccounting"/>
      <sz val="10"/>
      <name val="Tariff_Table_no2"/>
    </font>
    <font>
      <b/>
      <sz val="11"/>
      <name val="Tariff_Table_no2"/>
    </font>
    <font>
      <sz val="11"/>
      <name val="Tariff_Table_no2"/>
    </font>
    <font>
      <b/>
      <sz val="16"/>
      <name val="Tariff_Table_no2"/>
    </font>
    <font>
      <b/>
      <sz val="12"/>
      <name val="Tariff_Table_no2"/>
    </font>
    <font>
      <sz val="22"/>
      <name val="Arial"/>
      <family val="2"/>
    </font>
    <font>
      <b/>
      <sz val="22"/>
      <color indexed="8"/>
      <name val="Tariff_Table_no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0">
    <xf numFmtId="0" fontId="0" fillId="0" borderId="0" xfId="0"/>
    <xf numFmtId="0" fontId="0" fillId="2" borderId="0" xfId="0" applyFill="1"/>
    <xf numFmtId="166" fontId="3" fillId="2" borderId="1" xfId="0" applyNumberFormat="1" applyFont="1" applyFill="1" applyBorder="1"/>
    <xf numFmtId="0" fontId="3" fillId="2" borderId="2" xfId="0" applyFont="1" applyFill="1" applyBorder="1"/>
    <xf numFmtId="166" fontId="0" fillId="2" borderId="1" xfId="0" applyNumberFormat="1" applyFill="1" applyBorder="1"/>
    <xf numFmtId="3" fontId="0" fillId="2" borderId="2" xfId="0" applyNumberForma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7" fontId="3" fillId="2" borderId="1" xfId="0" applyNumberFormat="1" applyFont="1" applyFill="1" applyBorder="1"/>
    <xf numFmtId="168" fontId="3" fillId="2" borderId="1" xfId="1" applyNumberFormat="1" applyFont="1" applyFill="1" applyBorder="1"/>
    <xf numFmtId="10" fontId="3" fillId="2" borderId="1" xfId="3" applyNumberFormat="1" applyFont="1" applyFill="1" applyBorder="1"/>
    <xf numFmtId="3" fontId="3" fillId="2" borderId="1" xfId="0" applyNumberFormat="1" applyFont="1" applyFill="1" applyBorder="1"/>
    <xf numFmtId="0" fontId="3" fillId="2" borderId="1" xfId="0" applyFont="1" applyFill="1" applyBorder="1"/>
    <xf numFmtId="167" fontId="0" fillId="2" borderId="1" xfId="0" applyNumberFormat="1" applyFill="1" applyBorder="1"/>
    <xf numFmtId="168" fontId="0" fillId="2" borderId="1" xfId="1" applyNumberFormat="1" applyFont="1" applyFill="1" applyBorder="1"/>
    <xf numFmtId="10" fontId="0" fillId="2" borderId="1" xfId="3" applyNumberFormat="1" applyFont="1" applyFill="1" applyBorder="1"/>
    <xf numFmtId="3" fontId="0" fillId="2" borderId="1" xfId="0" applyNumberFormat="1" applyFill="1" applyBorder="1"/>
    <xf numFmtId="0" fontId="0" fillId="2" borderId="0" xfId="0" quotePrefix="1" applyFill="1"/>
    <xf numFmtId="0" fontId="3" fillId="2" borderId="0" xfId="0" applyFont="1" applyFill="1"/>
    <xf numFmtId="169" fontId="2" fillId="3" borderId="1" xfId="3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9" fontId="0" fillId="2" borderId="0" xfId="3" applyNumberFormat="1" applyFont="1" applyFill="1"/>
    <xf numFmtId="9" fontId="0" fillId="2" borderId="1" xfId="3" applyFont="1" applyFill="1" applyBorder="1"/>
    <xf numFmtId="10" fontId="0" fillId="2" borderId="0" xfId="0" applyNumberFormat="1" applyFill="1"/>
    <xf numFmtId="3" fontId="0" fillId="2" borderId="0" xfId="0" applyNumberFormat="1" applyFill="1"/>
    <xf numFmtId="169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10" fontId="0" fillId="4" borderId="0" xfId="0" applyNumberFormat="1" applyFill="1"/>
    <xf numFmtId="170" fontId="0" fillId="2" borderId="0" xfId="0" applyNumberFormat="1" applyFill="1"/>
    <xf numFmtId="0" fontId="0" fillId="2" borderId="0" xfId="0" applyFill="1" applyAlignment="1">
      <alignment vertical="center"/>
    </xf>
    <xf numFmtId="171" fontId="3" fillId="2" borderId="0" xfId="2" applyNumberFormat="1" applyFont="1" applyFill="1"/>
    <xf numFmtId="168" fontId="1" fillId="4" borderId="0" xfId="1" applyNumberFormat="1" applyFont="1" applyFill="1" applyBorder="1"/>
    <xf numFmtId="171" fontId="6" fillId="4" borderId="4" xfId="2" applyNumberFormat="1" applyFont="1" applyFill="1" applyBorder="1"/>
    <xf numFmtId="171" fontId="0" fillId="2" borderId="0" xfId="2" applyNumberFormat="1" applyFont="1" applyFill="1"/>
    <xf numFmtId="169" fontId="3" fillId="2" borderId="3" xfId="3" applyNumberFormat="1" applyFont="1" applyFill="1" applyBorder="1" applyAlignment="1">
      <alignment horizontal="center" vertical="center"/>
    </xf>
    <xf numFmtId="164" fontId="3" fillId="2" borderId="4" xfId="2" applyFont="1" applyFill="1" applyBorder="1"/>
    <xf numFmtId="0" fontId="3" fillId="2" borderId="5" xfId="0" applyFont="1" applyFill="1" applyBorder="1"/>
    <xf numFmtId="164" fontId="0" fillId="2" borderId="0" xfId="2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4" fontId="0" fillId="2" borderId="9" xfId="2" applyFont="1" applyFill="1" applyBorder="1"/>
    <xf numFmtId="0" fontId="3" fillId="2" borderId="10" xfId="0" applyFont="1" applyFill="1" applyBorder="1"/>
    <xf numFmtId="0" fontId="7" fillId="2" borderId="0" xfId="4" applyFill="1"/>
    <xf numFmtId="10" fontId="0" fillId="2" borderId="14" xfId="3" applyNumberFormat="1" applyFont="1" applyFill="1" applyBorder="1" applyAlignment="1">
      <alignment horizontal="center"/>
    </xf>
    <xf numFmtId="164" fontId="0" fillId="2" borderId="15" xfId="2" applyFont="1" applyFill="1" applyBorder="1"/>
    <xf numFmtId="0" fontId="0" fillId="2" borderId="16" xfId="0" applyFill="1" applyBorder="1"/>
    <xf numFmtId="10" fontId="0" fillId="2" borderId="17" xfId="3" applyNumberFormat="1" applyFont="1" applyFill="1" applyBorder="1" applyAlignment="1">
      <alignment horizontal="center"/>
    </xf>
    <xf numFmtId="164" fontId="0" fillId="2" borderId="1" xfId="2" applyFont="1" applyFill="1" applyBorder="1"/>
    <xf numFmtId="0" fontId="0" fillId="2" borderId="18" xfId="0" applyFill="1" applyBorder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0" fillId="2" borderId="9" xfId="0" applyFill="1" applyBorder="1"/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0" borderId="0" xfId="4"/>
    <xf numFmtId="0" fontId="7" fillId="0" borderId="0" xfId="4" applyAlignment="1">
      <alignment vertical="center"/>
    </xf>
    <xf numFmtId="172" fontId="7" fillId="0" borderId="0" xfId="4" applyNumberFormat="1"/>
    <xf numFmtId="172" fontId="7" fillId="0" borderId="0" xfId="4" applyNumberFormat="1" applyAlignment="1">
      <alignment vertical="center"/>
    </xf>
    <xf numFmtId="10" fontId="8" fillId="0" borderId="24" xfId="3" applyNumberFormat="1" applyFont="1" applyBorder="1"/>
    <xf numFmtId="168" fontId="9" fillId="0" borderId="25" xfId="1" applyNumberFormat="1" applyFont="1" applyFill="1" applyBorder="1" applyAlignment="1">
      <alignment horizontal="right" vertical="center"/>
    </xf>
    <xf numFmtId="0" fontId="7" fillId="0" borderId="25" xfId="4" applyBorder="1"/>
    <xf numFmtId="0" fontId="7" fillId="0" borderId="26" xfId="4" applyBorder="1"/>
    <xf numFmtId="169" fontId="9" fillId="0" borderId="24" xfId="5" applyNumberFormat="1" applyFont="1" applyFill="1" applyBorder="1" applyAlignment="1">
      <alignment horizontal="right" vertical="center"/>
    </xf>
    <xf numFmtId="173" fontId="9" fillId="0" borderId="25" xfId="6" applyNumberFormat="1" applyFont="1" applyFill="1" applyBorder="1" applyAlignment="1">
      <alignment horizontal="right" vertical="center"/>
    </xf>
    <xf numFmtId="0" fontId="10" fillId="0" borderId="25" xfId="4" applyFont="1" applyBorder="1" applyAlignment="1">
      <alignment horizontal="right"/>
    </xf>
    <xf numFmtId="0" fontId="9" fillId="0" borderId="26" xfId="4" applyFont="1" applyBorder="1" applyAlignment="1">
      <alignment horizontal="left"/>
    </xf>
    <xf numFmtId="10" fontId="7" fillId="0" borderId="27" xfId="3" applyNumberFormat="1" applyFont="1" applyBorder="1"/>
    <xf numFmtId="168" fontId="10" fillId="0" borderId="0" xfId="1" applyNumberFormat="1" applyFont="1" applyFill="1" applyBorder="1" applyAlignment="1">
      <alignment horizontal="right" vertical="center"/>
    </xf>
    <xf numFmtId="0" fontId="7" fillId="0" borderId="28" xfId="4" applyBorder="1"/>
    <xf numFmtId="169" fontId="9" fillId="0" borderId="27" xfId="5" applyNumberFormat="1" applyFont="1" applyFill="1" applyBorder="1" applyAlignment="1">
      <alignment horizontal="right" vertical="center"/>
    </xf>
    <xf numFmtId="173" fontId="9" fillId="0" borderId="0" xfId="6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right"/>
    </xf>
    <xf numFmtId="0" fontId="10" fillId="0" borderId="28" xfId="4" applyFont="1" applyBorder="1" applyAlignment="1">
      <alignment horizontal="left"/>
    </xf>
    <xf numFmtId="0" fontId="7" fillId="0" borderId="27" xfId="4" applyBorder="1"/>
    <xf numFmtId="168" fontId="7" fillId="0" borderId="0" xfId="1" applyNumberFormat="1" applyFont="1" applyBorder="1"/>
    <xf numFmtId="0" fontId="9" fillId="0" borderId="28" xfId="4" applyFont="1" applyBorder="1" applyAlignment="1">
      <alignment horizontal="left"/>
    </xf>
    <xf numFmtId="0" fontId="7" fillId="0" borderId="27" xfId="4" applyBorder="1" applyAlignment="1">
      <alignment vertical="center"/>
    </xf>
    <xf numFmtId="168" fontId="9" fillId="0" borderId="0" xfId="1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right" vertical="center"/>
    </xf>
    <xf numFmtId="168" fontId="11" fillId="0" borderId="0" xfId="1" applyNumberFormat="1" applyFont="1" applyFill="1" applyBorder="1" applyAlignment="1">
      <alignment horizontal="right" vertical="center"/>
    </xf>
    <xf numFmtId="169" fontId="11" fillId="0" borderId="27" xfId="5" applyNumberFormat="1" applyFont="1" applyFill="1" applyBorder="1" applyAlignment="1">
      <alignment horizontal="right" vertical="center"/>
    </xf>
    <xf numFmtId="173" fontId="12" fillId="0" borderId="0" xfId="6" applyNumberFormat="1" applyFont="1" applyFill="1" applyBorder="1" applyAlignment="1">
      <alignment horizontal="right"/>
    </xf>
    <xf numFmtId="173" fontId="11" fillId="0" borderId="0" xfId="6" applyNumberFormat="1" applyFont="1" applyFill="1" applyBorder="1" applyAlignment="1">
      <alignment horizontal="right" vertical="center"/>
    </xf>
    <xf numFmtId="169" fontId="10" fillId="0" borderId="27" xfId="5" applyNumberFormat="1" applyFont="1" applyFill="1" applyBorder="1" applyAlignment="1">
      <alignment horizontal="right" vertical="center"/>
    </xf>
    <xf numFmtId="173" fontId="10" fillId="0" borderId="0" xfId="6" applyNumberFormat="1" applyFont="1" applyFill="1" applyBorder="1" applyAlignment="1">
      <alignment horizontal="right"/>
    </xf>
    <xf numFmtId="173" fontId="10" fillId="0" borderId="0" xfId="6" applyNumberFormat="1" applyFont="1" applyFill="1" applyBorder="1" applyAlignment="1">
      <alignment horizontal="right" vertical="center"/>
    </xf>
    <xf numFmtId="168" fontId="7" fillId="0" borderId="28" xfId="4" applyNumberFormat="1" applyBorder="1"/>
    <xf numFmtId="0" fontId="10" fillId="0" borderId="28" xfId="4" applyFont="1" applyBorder="1" applyAlignment="1">
      <alignment horizontal="right"/>
    </xf>
    <xf numFmtId="165" fontId="7" fillId="5" borderId="0" xfId="1" applyFont="1" applyFill="1" applyBorder="1"/>
    <xf numFmtId="165" fontId="10" fillId="5" borderId="0" xfId="1" applyFont="1" applyFill="1" applyBorder="1" applyAlignment="1">
      <alignment horizontal="right" vertical="center"/>
    </xf>
    <xf numFmtId="0" fontId="7" fillId="5" borderId="0" xfId="4" applyFill="1"/>
    <xf numFmtId="168" fontId="7" fillId="5" borderId="28" xfId="4" applyNumberFormat="1" applyFill="1" applyBorder="1"/>
    <xf numFmtId="169" fontId="10" fillId="5" borderId="27" xfId="5" applyNumberFormat="1" applyFont="1" applyFill="1" applyBorder="1" applyAlignment="1">
      <alignment horizontal="right" vertical="center"/>
    </xf>
    <xf numFmtId="173" fontId="10" fillId="5" borderId="0" xfId="6" applyNumberFormat="1" applyFont="1" applyFill="1" applyBorder="1" applyAlignment="1">
      <alignment horizontal="right"/>
    </xf>
    <xf numFmtId="173" fontId="10" fillId="5" borderId="0" xfId="6" applyNumberFormat="1" applyFont="1" applyFill="1" applyBorder="1" applyAlignment="1">
      <alignment horizontal="right" vertical="center"/>
    </xf>
    <xf numFmtId="0" fontId="10" fillId="5" borderId="0" xfId="4" applyFont="1" applyFill="1" applyAlignment="1">
      <alignment horizontal="right"/>
    </xf>
    <xf numFmtId="0" fontId="10" fillId="5" borderId="28" xfId="4" applyFont="1" applyFill="1" applyBorder="1" applyAlignment="1">
      <alignment horizontal="left"/>
    </xf>
    <xf numFmtId="0" fontId="10" fillId="0" borderId="28" xfId="4" applyFont="1" applyBorder="1"/>
    <xf numFmtId="165" fontId="7" fillId="0" borderId="0" xfId="1" applyFont="1" applyBorder="1"/>
    <xf numFmtId="165" fontId="11" fillId="0" borderId="0" xfId="1" applyFont="1" applyFill="1" applyBorder="1" applyAlignment="1">
      <alignment horizontal="right" vertical="center"/>
    </xf>
    <xf numFmtId="173" fontId="12" fillId="0" borderId="0" xfId="6" applyNumberFormat="1" applyFont="1" applyFill="1" applyBorder="1" applyAlignment="1">
      <alignment horizontal="right" vertical="center"/>
    </xf>
    <xf numFmtId="0" fontId="10" fillId="0" borderId="28" xfId="4" applyFont="1" applyBorder="1" applyAlignment="1">
      <alignment horizontal="left" vertical="top"/>
    </xf>
    <xf numFmtId="165" fontId="10" fillId="0" borderId="0" xfId="1" applyFont="1" applyFill="1" applyBorder="1" applyAlignment="1">
      <alignment horizontal="right" vertical="center"/>
    </xf>
    <xf numFmtId="168" fontId="7" fillId="0" borderId="28" xfId="1" applyNumberFormat="1" applyFont="1" applyBorder="1"/>
    <xf numFmtId="169" fontId="10" fillId="0" borderId="27" xfId="6" applyNumberFormat="1" applyFont="1" applyFill="1" applyBorder="1" applyAlignment="1">
      <alignment horizontal="right" vertical="center"/>
    </xf>
    <xf numFmtId="0" fontId="13" fillId="0" borderId="28" xfId="4" applyFont="1" applyBorder="1" applyAlignment="1">
      <alignment horizontal="left" vertical="top"/>
    </xf>
    <xf numFmtId="173" fontId="9" fillId="0" borderId="0" xfId="6" applyNumberFormat="1" applyFont="1" applyFill="1" applyBorder="1" applyAlignment="1">
      <alignment horizontal="right"/>
    </xf>
    <xf numFmtId="165" fontId="9" fillId="0" borderId="0" xfId="1" applyFont="1" applyFill="1" applyBorder="1" applyAlignment="1">
      <alignment horizontal="right" vertical="center"/>
    </xf>
    <xf numFmtId="165" fontId="12" fillId="0" borderId="0" xfId="1" applyFont="1" applyFill="1" applyBorder="1" applyAlignment="1">
      <alignment horizontal="right"/>
    </xf>
    <xf numFmtId="169" fontId="7" fillId="0" borderId="27" xfId="4" applyNumberFormat="1" applyBorder="1" applyAlignment="1">
      <alignment vertical="center"/>
    </xf>
    <xf numFmtId="0" fontId="13" fillId="0" borderId="28" xfId="4" applyFont="1" applyBorder="1"/>
    <xf numFmtId="0" fontId="13" fillId="0" borderId="28" xfId="4" applyFont="1" applyBorder="1" applyAlignment="1">
      <alignment horizontal="left" vertical="center"/>
    </xf>
    <xf numFmtId="0" fontId="14" fillId="0" borderId="28" xfId="4" applyFont="1" applyBorder="1" applyAlignment="1">
      <alignment horizontal="left" vertical="top"/>
    </xf>
    <xf numFmtId="173" fontId="11" fillId="0" borderId="0" xfId="6" applyNumberFormat="1" applyFont="1" applyFill="1" applyBorder="1" applyAlignment="1">
      <alignment horizontal="right"/>
    </xf>
    <xf numFmtId="0" fontId="15" fillId="0" borderId="28" xfId="4" applyFont="1" applyBorder="1" applyAlignment="1">
      <alignment horizontal="left" vertical="center"/>
    </xf>
    <xf numFmtId="169" fontId="10" fillId="0" borderId="29" xfId="5" applyNumberFormat="1" applyFont="1" applyFill="1" applyBorder="1" applyAlignment="1">
      <alignment horizontal="right" vertical="center"/>
    </xf>
    <xf numFmtId="173" fontId="10" fillId="0" borderId="30" xfId="6" applyNumberFormat="1" applyFont="1" applyFill="1" applyBorder="1" applyAlignment="1">
      <alignment horizontal="right"/>
    </xf>
    <xf numFmtId="173" fontId="10" fillId="0" borderId="30" xfId="6" applyNumberFormat="1" applyFont="1" applyFill="1" applyBorder="1" applyAlignment="1">
      <alignment horizontal="right" vertical="center"/>
    </xf>
    <xf numFmtId="0" fontId="10" fillId="0" borderId="30" xfId="4" applyFont="1" applyBorder="1" applyAlignment="1">
      <alignment horizontal="right"/>
    </xf>
    <xf numFmtId="0" fontId="15" fillId="0" borderId="31" xfId="4" applyFont="1" applyBorder="1" applyAlignment="1">
      <alignment horizontal="left" vertical="center"/>
    </xf>
    <xf numFmtId="0" fontId="7" fillId="0" borderId="24" xfId="4" applyBorder="1"/>
    <xf numFmtId="0" fontId="7" fillId="0" borderId="24" xfId="4" applyBorder="1" applyAlignment="1">
      <alignment vertical="center"/>
    </xf>
    <xf numFmtId="172" fontId="7" fillId="0" borderId="25" xfId="4" applyNumberFormat="1" applyBorder="1"/>
    <xf numFmtId="172" fontId="7" fillId="0" borderId="25" xfId="4" applyNumberFormat="1" applyBorder="1" applyAlignment="1">
      <alignment vertical="center"/>
    </xf>
    <xf numFmtId="173" fontId="9" fillId="0" borderId="0" xfId="6" applyNumberFormat="1" applyFont="1" applyFill="1" applyAlignment="1">
      <alignment horizontal="right" vertical="center"/>
    </xf>
    <xf numFmtId="173" fontId="12" fillId="0" borderId="0" xfId="6" applyNumberFormat="1" applyFont="1" applyFill="1" applyAlignment="1">
      <alignment horizontal="right"/>
    </xf>
    <xf numFmtId="173" fontId="10" fillId="0" borderId="0" xfId="6" applyNumberFormat="1" applyFont="1" applyFill="1" applyAlignment="1">
      <alignment horizontal="right"/>
    </xf>
    <xf numFmtId="173" fontId="10" fillId="0" borderId="0" xfId="6" applyNumberFormat="1" applyFont="1" applyFill="1" applyAlignment="1">
      <alignment horizontal="right" vertical="center"/>
    </xf>
    <xf numFmtId="173" fontId="11" fillId="0" borderId="0" xfId="6" applyNumberFormat="1" applyFont="1" applyFill="1" applyAlignment="1">
      <alignment horizontal="right" vertical="center"/>
    </xf>
    <xf numFmtId="173" fontId="12" fillId="0" borderId="0" xfId="6" applyNumberFormat="1" applyFont="1" applyFill="1" applyAlignment="1">
      <alignment horizontal="right" vertical="center"/>
    </xf>
    <xf numFmtId="174" fontId="7" fillId="0" borderId="28" xfId="7" applyNumberFormat="1" applyFont="1" applyBorder="1"/>
    <xf numFmtId="169" fontId="10" fillId="0" borderId="32" xfId="5" applyNumberFormat="1" applyFont="1" applyFill="1" applyBorder="1" applyAlignment="1">
      <alignment horizontal="right" vertical="center"/>
    </xf>
    <xf numFmtId="173" fontId="10" fillId="0" borderId="9" xfId="6" applyNumberFormat="1" applyFont="1" applyFill="1" applyBorder="1" applyAlignment="1">
      <alignment horizontal="right"/>
    </xf>
    <xf numFmtId="173" fontId="10" fillId="0" borderId="9" xfId="6" applyNumberFormat="1" applyFont="1" applyFill="1" applyBorder="1" applyAlignment="1">
      <alignment horizontal="right" vertical="center"/>
    </xf>
    <xf numFmtId="0" fontId="10" fillId="0" borderId="9" xfId="4" applyFont="1" applyBorder="1" applyAlignment="1">
      <alignment horizontal="right"/>
    </xf>
    <xf numFmtId="0" fontId="15" fillId="0" borderId="33" xfId="4" applyFont="1" applyBorder="1" applyAlignment="1">
      <alignment horizontal="left" vertical="center"/>
    </xf>
    <xf numFmtId="172" fontId="10" fillId="0" borderId="0" xfId="6" applyNumberFormat="1" applyFont="1" applyFill="1" applyAlignment="1">
      <alignment horizontal="right"/>
    </xf>
    <xf numFmtId="172" fontId="9" fillId="0" borderId="0" xfId="6" applyNumberFormat="1" applyFont="1" applyFill="1" applyAlignment="1">
      <alignment horizontal="right" vertical="center"/>
    </xf>
    <xf numFmtId="172" fontId="9" fillId="0" borderId="0" xfId="6" applyNumberFormat="1" applyFont="1" applyFill="1" applyBorder="1" applyAlignment="1">
      <alignment horizontal="right" vertical="center"/>
    </xf>
    <xf numFmtId="0" fontId="9" fillId="0" borderId="0" xfId="4" applyFont="1" applyAlignment="1">
      <alignment horizontal="right"/>
    </xf>
    <xf numFmtId="0" fontId="7" fillId="0" borderId="34" xfId="4" applyBorder="1"/>
    <xf numFmtId="168" fontId="7" fillId="0" borderId="4" xfId="1" applyNumberFormat="1" applyFont="1" applyBorder="1"/>
    <xf numFmtId="0" fontId="7" fillId="0" borderId="4" xfId="4" applyBorder="1"/>
    <xf numFmtId="0" fontId="7" fillId="0" borderId="35" xfId="4" applyBorder="1"/>
    <xf numFmtId="10" fontId="8" fillId="0" borderId="27" xfId="3" applyNumberFormat="1" applyFont="1" applyBorder="1"/>
    <xf numFmtId="168" fontId="12" fillId="0" borderId="0" xfId="1" applyNumberFormat="1" applyFont="1" applyFill="1" applyBorder="1" applyAlignment="1">
      <alignment horizontal="right"/>
    </xf>
    <xf numFmtId="174" fontId="7" fillId="0" borderId="28" xfId="4" applyNumberFormat="1" applyBorder="1"/>
    <xf numFmtId="174" fontId="7" fillId="5" borderId="28" xfId="4" applyNumberFormat="1" applyFill="1" applyBorder="1"/>
    <xf numFmtId="173" fontId="10" fillId="5" borderId="0" xfId="6" applyNumberFormat="1" applyFont="1" applyFill="1" applyAlignment="1">
      <alignment horizontal="right"/>
    </xf>
    <xf numFmtId="173" fontId="10" fillId="5" borderId="0" xfId="6" applyNumberFormat="1" applyFont="1" applyFill="1" applyAlignment="1">
      <alignment horizontal="right" vertical="center"/>
    </xf>
    <xf numFmtId="173" fontId="9" fillId="0" borderId="0" xfId="6" applyNumberFormat="1" applyFont="1" applyFill="1" applyAlignment="1">
      <alignment horizontal="right"/>
    </xf>
    <xf numFmtId="0" fontId="7" fillId="0" borderId="32" xfId="4" applyBorder="1"/>
    <xf numFmtId="168" fontId="7" fillId="0" borderId="9" xfId="1" applyNumberFormat="1" applyFont="1" applyBorder="1"/>
    <xf numFmtId="0" fontId="7" fillId="0" borderId="9" xfId="4" applyBorder="1"/>
    <xf numFmtId="0" fontId="7" fillId="0" borderId="33" xfId="4" applyBorder="1"/>
    <xf numFmtId="168" fontId="8" fillId="0" borderId="0" xfId="1" applyNumberFormat="1" applyFont="1" applyBorder="1"/>
    <xf numFmtId="175" fontId="7" fillId="0" borderId="28" xfId="4" applyNumberFormat="1" applyBorder="1"/>
    <xf numFmtId="169" fontId="9" fillId="0" borderId="27" xfId="6" applyNumberFormat="1" applyFont="1" applyFill="1" applyBorder="1" applyAlignment="1">
      <alignment horizontal="right" vertical="center"/>
    </xf>
    <xf numFmtId="175" fontId="7" fillId="0" borderId="28" xfId="1" applyNumberFormat="1" applyFont="1" applyBorder="1"/>
    <xf numFmtId="173" fontId="11" fillId="0" borderId="0" xfId="6" applyNumberFormat="1" applyFont="1" applyFill="1" applyAlignment="1">
      <alignment horizontal="right"/>
    </xf>
    <xf numFmtId="176" fontId="7" fillId="0" borderId="28" xfId="4" applyNumberFormat="1" applyBorder="1"/>
    <xf numFmtId="169" fontId="7" fillId="0" borderId="27" xfId="3" applyNumberFormat="1" applyFont="1" applyBorder="1"/>
    <xf numFmtId="165" fontId="12" fillId="0" borderId="0" xfId="1" applyFont="1" applyFill="1" applyBorder="1" applyAlignment="1">
      <alignment horizontal="right" vertical="center"/>
    </xf>
    <xf numFmtId="165" fontId="9" fillId="0" borderId="0" xfId="6" applyNumberFormat="1" applyFont="1" applyFill="1" applyBorder="1" applyAlignment="1">
      <alignment horizontal="right" vertical="center"/>
    </xf>
    <xf numFmtId="165" fontId="11" fillId="0" borderId="0" xfId="6" applyNumberFormat="1" applyFont="1" applyFill="1" applyBorder="1" applyAlignment="1">
      <alignment horizontal="right" vertical="center"/>
    </xf>
    <xf numFmtId="165" fontId="10" fillId="0" borderId="0" xfId="6" applyNumberFormat="1" applyFont="1" applyFill="1" applyBorder="1" applyAlignment="1">
      <alignment horizontal="right" vertical="center"/>
    </xf>
    <xf numFmtId="165" fontId="7" fillId="0" borderId="28" xfId="1" applyFont="1" applyBorder="1"/>
    <xf numFmtId="174" fontId="7" fillId="0" borderId="0" xfId="4" applyNumberFormat="1"/>
    <xf numFmtId="165" fontId="7" fillId="0" borderId="4" xfId="1" applyFont="1" applyBorder="1"/>
    <xf numFmtId="172" fontId="10" fillId="0" borderId="0" xfId="6" applyNumberFormat="1" applyFont="1" applyFill="1" applyAlignment="1">
      <alignment horizontal="right" vertical="center"/>
    </xf>
    <xf numFmtId="172" fontId="10" fillId="0" borderId="0" xfId="6" applyNumberFormat="1" applyFont="1" applyFill="1" applyBorder="1" applyAlignment="1">
      <alignment horizontal="right" vertical="center"/>
    </xf>
    <xf numFmtId="2" fontId="9" fillId="0" borderId="0" xfId="6" applyNumberFormat="1" applyFont="1" applyFill="1" applyAlignment="1">
      <alignment horizontal="right"/>
    </xf>
    <xf numFmtId="2" fontId="9" fillId="0" borderId="0" xfId="6" applyNumberFormat="1" applyFont="1" applyFill="1" applyAlignment="1">
      <alignment horizontal="right" vertical="center"/>
    </xf>
    <xf numFmtId="2" fontId="9" fillId="0" borderId="0" xfId="6" applyNumberFormat="1" applyFont="1" applyFill="1" applyBorder="1" applyAlignment="1">
      <alignment horizontal="right" vertical="center"/>
    </xf>
    <xf numFmtId="0" fontId="14" fillId="0" borderId="28" xfId="4" applyFont="1" applyBorder="1"/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 vertical="center"/>
    </xf>
    <xf numFmtId="0" fontId="8" fillId="0" borderId="28" xfId="4" applyFont="1" applyBorder="1" applyAlignment="1">
      <alignment horizontal="center" vertical="center" wrapText="1"/>
    </xf>
    <xf numFmtId="43" fontId="16" fillId="0" borderId="29" xfId="6" applyFont="1" applyFill="1" applyBorder="1" applyAlignment="1">
      <alignment horizontal="center" vertical="center" wrapText="1"/>
    </xf>
    <xf numFmtId="172" fontId="16" fillId="0" borderId="30" xfId="6" applyNumberFormat="1" applyFont="1" applyFill="1" applyBorder="1" applyAlignment="1">
      <alignment horizontal="center" wrapText="1"/>
    </xf>
    <xf numFmtId="0" fontId="15" fillId="0" borderId="30" xfId="6" applyNumberFormat="1" applyFont="1" applyFill="1" applyBorder="1" applyAlignment="1">
      <alignment horizontal="center" wrapText="1"/>
    </xf>
    <xf numFmtId="0" fontId="16" fillId="0" borderId="30" xfId="4" applyFont="1" applyBorder="1" applyAlignment="1">
      <alignment horizontal="center"/>
    </xf>
    <xf numFmtId="0" fontId="9" fillId="0" borderId="0" xfId="4" applyFont="1" applyAlignment="1">
      <alignment horizontal="center" vertical="center"/>
    </xf>
    <xf numFmtId="172" fontId="10" fillId="0" borderId="0" xfId="4" applyNumberFormat="1" applyFont="1" applyAlignment="1">
      <alignment horizontal="center"/>
    </xf>
    <xf numFmtId="172" fontId="9" fillId="0" borderId="0" xfId="4" applyNumberFormat="1" applyFont="1" applyAlignment="1">
      <alignment horizontal="center" vertical="center"/>
    </xf>
    <xf numFmtId="0" fontId="9" fillId="0" borderId="0" xfId="4" applyFont="1" applyAlignment="1">
      <alignment horizontal="center"/>
    </xf>
    <xf numFmtId="0" fontId="0" fillId="2" borderId="31" xfId="0" applyFill="1" applyBorder="1"/>
    <xf numFmtId="0" fontId="0" fillId="2" borderId="30" xfId="0" applyFill="1" applyBorder="1"/>
    <xf numFmtId="0" fontId="0" fillId="2" borderId="28" xfId="0" applyFill="1" applyBorder="1"/>
    <xf numFmtId="166" fontId="0" fillId="2" borderId="0" xfId="0" applyNumberFormat="1" applyFill="1"/>
    <xf numFmtId="0" fontId="0" fillId="2" borderId="0" xfId="0" applyFill="1" applyAlignment="1">
      <alignment horizontal="right"/>
    </xf>
    <xf numFmtId="169" fontId="0" fillId="4" borderId="0" xfId="3" applyNumberFormat="1" applyFont="1" applyFill="1" applyBorder="1"/>
    <xf numFmtId="0" fontId="3" fillId="2" borderId="28" xfId="0" applyFont="1" applyFill="1" applyBorder="1"/>
    <xf numFmtId="166" fontId="3" fillId="2" borderId="0" xfId="0" applyNumberFormat="1" applyFont="1" applyFill="1"/>
    <xf numFmtId="0" fontId="0" fillId="2" borderId="26" xfId="0" applyFill="1" applyBorder="1"/>
    <xf numFmtId="0" fontId="0" fillId="2" borderId="25" xfId="0" applyFill="1" applyBorder="1"/>
    <xf numFmtId="0" fontId="8" fillId="2" borderId="0" xfId="4" applyFont="1" applyFill="1"/>
    <xf numFmtId="0" fontId="0" fillId="2" borderId="1" xfId="0" applyFill="1" applyBorder="1"/>
    <xf numFmtId="169" fontId="0" fillId="4" borderId="1" xfId="3" applyNumberFormat="1" applyFont="1" applyFill="1" applyBorder="1" applyAlignment="1">
      <alignment horizontal="center"/>
    </xf>
    <xf numFmtId="10" fontId="0" fillId="2" borderId="1" xfId="0" applyNumberForma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9" fontId="0" fillId="2" borderId="6" xfId="3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2" borderId="13" xfId="4" applyFill="1" applyBorder="1" applyAlignment="1">
      <alignment horizontal="center"/>
    </xf>
    <xf numFmtId="0" fontId="7" fillId="2" borderId="12" xfId="4" applyFill="1" applyBorder="1" applyAlignment="1">
      <alignment horizontal="center"/>
    </xf>
    <xf numFmtId="0" fontId="7" fillId="2" borderId="11" xfId="4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18" fillId="0" borderId="13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7" fillId="0" borderId="11" xfId="4" applyFont="1" applyBorder="1" applyAlignment="1">
      <alignment horizontal="center" vertical="center" wrapText="1"/>
    </xf>
  </cellXfs>
  <cellStyles count="8">
    <cellStyle name="Comma" xfId="1" builtinId="3"/>
    <cellStyle name="Comma 2" xfId="7" xr:uid="{3442A1DB-8D2E-4EEF-BA3B-5931D17E14A7}"/>
    <cellStyle name="Comma 2 2" xfId="6" xr:uid="{A6FCAA34-4E0C-492F-BD76-E7C7C4679CD8}"/>
    <cellStyle name="Currency" xfId="2" builtinId="4"/>
    <cellStyle name="Normal" xfId="0" builtinId="0"/>
    <cellStyle name="Normal 2 2" xfId="4" xr:uid="{722681D7-8591-4308-81D8-9B8081CC7DB7}"/>
    <cellStyle name="Percent" xfId="3" builtinId="5"/>
    <cellStyle name="Percent 2" xfId="5" xr:uid="{9B2152FA-534B-4F77-A0D4-7CA86FE1E815}"/>
  </cellStyles>
  <dxfs count="7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C20B-21F1-4EAE-BB35-37C882C22537}">
  <dimension ref="A2:U135"/>
  <sheetViews>
    <sheetView tabSelected="1" zoomScale="130" zoomScaleNormal="130" workbookViewId="0">
      <selection activeCell="G8" sqref="G8"/>
    </sheetView>
  </sheetViews>
  <sheetFormatPr defaultColWidth="8.85546875" defaultRowHeight="15"/>
  <cols>
    <col min="1" max="1" width="8.85546875" style="1"/>
    <col min="2" max="3" width="21" style="1" customWidth="1"/>
    <col min="4" max="4" width="13.42578125" style="1" customWidth="1"/>
    <col min="5" max="6" width="13.140625" style="1" customWidth="1"/>
    <col min="7" max="10" width="14.7109375" style="1" customWidth="1"/>
    <col min="11" max="11" width="15.140625" style="1" bestFit="1" customWidth="1"/>
    <col min="12" max="12" width="15.140625" style="1" customWidth="1"/>
    <col min="13" max="13" width="12.7109375" style="1" customWidth="1"/>
    <col min="14" max="14" width="20" style="1" customWidth="1"/>
    <col min="15" max="15" width="11.28515625" style="1" customWidth="1"/>
    <col min="16" max="16" width="17.28515625" style="1" customWidth="1"/>
    <col min="17" max="17" width="15.140625" style="1" customWidth="1"/>
    <col min="18" max="18" width="8.85546875" style="1"/>
    <col min="19" max="19" width="16.5703125" style="1" customWidth="1"/>
    <col min="20" max="16384" width="8.85546875" style="1"/>
  </cols>
  <sheetData>
    <row r="2" spans="1:21">
      <c r="B2" s="18" t="s">
        <v>0</v>
      </c>
    </row>
    <row r="4" spans="1:21">
      <c r="B4" s="1" t="s">
        <v>1</v>
      </c>
      <c r="D4" s="34">
        <v>10375875.010196194</v>
      </c>
    </row>
    <row r="5" spans="1:21">
      <c r="B5" s="1" t="s">
        <v>2</v>
      </c>
      <c r="D5" s="34">
        <v>9500000</v>
      </c>
    </row>
    <row r="6" spans="1:21">
      <c r="B6" s="1" t="s">
        <v>3</v>
      </c>
      <c r="D6" s="33"/>
    </row>
    <row r="7" spans="1:21">
      <c r="B7" s="18" t="s">
        <v>4</v>
      </c>
      <c r="C7" s="18"/>
      <c r="D7" s="31">
        <f>D4+D5+D6</f>
        <v>19875875.010196194</v>
      </c>
    </row>
    <row r="8" spans="1:21">
      <c r="B8" s="1" t="s">
        <v>5</v>
      </c>
      <c r="D8" s="32">
        <v>12</v>
      </c>
    </row>
    <row r="9" spans="1:21">
      <c r="B9" s="18" t="s">
        <v>6</v>
      </c>
      <c r="C9" s="18"/>
      <c r="D9" s="31">
        <f>D7/(D8/12)</f>
        <v>19875875.010196194</v>
      </c>
    </row>
    <row r="10" spans="1:21" ht="15.75" thickBot="1"/>
    <row r="11" spans="1:21" s="190" customFormat="1">
      <c r="A11" s="189"/>
    </row>
    <row r="12" spans="1:21">
      <c r="A12" s="191"/>
      <c r="B12" s="18" t="s">
        <v>7</v>
      </c>
    </row>
    <row r="13" spans="1:21">
      <c r="A13" s="191"/>
    </row>
    <row r="14" spans="1:21">
      <c r="A14" s="191"/>
      <c r="C14" s="203" t="s">
        <v>8</v>
      </c>
      <c r="D14" s="203"/>
      <c r="E14" s="203" t="s">
        <v>9</v>
      </c>
      <c r="F14" s="203"/>
      <c r="G14" s="203" t="s">
        <v>10</v>
      </c>
      <c r="H14" s="203"/>
      <c r="I14" s="203" t="s">
        <v>11</v>
      </c>
      <c r="J14" s="203"/>
      <c r="K14" s="203" t="s">
        <v>12</v>
      </c>
      <c r="L14" s="203"/>
    </row>
    <row r="15" spans="1:21" ht="30">
      <c r="A15" s="191"/>
      <c r="B15" s="21"/>
      <c r="C15" s="20" t="s">
        <v>13</v>
      </c>
      <c r="D15" s="19" t="s">
        <v>14</v>
      </c>
      <c r="E15" s="20" t="s">
        <v>15</v>
      </c>
      <c r="F15" s="19" t="s">
        <v>14</v>
      </c>
      <c r="G15" s="19" t="s">
        <v>16</v>
      </c>
      <c r="H15" s="19" t="s">
        <v>14</v>
      </c>
      <c r="I15" s="6" t="s">
        <v>17</v>
      </c>
      <c r="J15" s="19" t="s">
        <v>14</v>
      </c>
      <c r="K15" s="19" t="s">
        <v>12</v>
      </c>
      <c r="L15" s="19" t="s">
        <v>14</v>
      </c>
    </row>
    <row r="16" spans="1:21">
      <c r="A16" s="191"/>
      <c r="B16" s="16" t="s">
        <v>18</v>
      </c>
      <c r="C16" s="16">
        <v>5601352</v>
      </c>
      <c r="D16" s="15">
        <f t="shared" ref="D16:D27" si="0">C16/$C$27</f>
        <v>0.49684325704611537</v>
      </c>
      <c r="E16" s="16">
        <v>4351189</v>
      </c>
      <c r="F16" s="15">
        <f t="shared" ref="F16:F27" si="1">E16/$E$27</f>
        <v>0.65059281200068986</v>
      </c>
      <c r="G16" s="14">
        <v>486363</v>
      </c>
      <c r="H16" s="15">
        <f t="shared" ref="H16:H27" si="2">G16/$G$27</f>
        <v>0.90510219463038544</v>
      </c>
      <c r="I16" s="14">
        <v>5174286</v>
      </c>
      <c r="J16" s="15">
        <f t="shared" ref="J16:J27" si="3">I16/$I$27</f>
        <v>0.49153343072830918</v>
      </c>
      <c r="K16" s="14">
        <v>10379557.284336062</v>
      </c>
      <c r="L16" s="15">
        <f t="shared" ref="L16:L26" si="4">K16/$K$27</f>
        <v>0.53368039491532682</v>
      </c>
      <c r="U16" s="192"/>
    </row>
    <row r="17" spans="1:21">
      <c r="A17" s="191"/>
      <c r="B17" s="16" t="s">
        <v>19</v>
      </c>
      <c r="C17" s="16">
        <v>385414</v>
      </c>
      <c r="D17" s="15">
        <f t="shared" si="0"/>
        <v>3.4186451248050739E-2</v>
      </c>
      <c r="E17" s="16">
        <v>230332</v>
      </c>
      <c r="F17" s="15">
        <f t="shared" si="1"/>
        <v>3.4439401178331462E-2</v>
      </c>
      <c r="G17" s="14">
        <v>27549</v>
      </c>
      <c r="H17" s="15">
        <f t="shared" si="2"/>
        <v>5.1267593052663311E-2</v>
      </c>
      <c r="I17" s="14">
        <v>356341</v>
      </c>
      <c r="J17" s="15">
        <f t="shared" si="3"/>
        <v>3.3850760131766279E-2</v>
      </c>
      <c r="K17" s="14">
        <v>645964.46737692843</v>
      </c>
      <c r="L17" s="15">
        <f t="shared" si="4"/>
        <v>3.3213225054524995E-2</v>
      </c>
      <c r="U17" s="192"/>
    </row>
    <row r="18" spans="1:21">
      <c r="A18" s="191"/>
      <c r="B18" s="16" t="s">
        <v>20</v>
      </c>
      <c r="C18" s="16">
        <v>2335072</v>
      </c>
      <c r="D18" s="15">
        <f t="shared" si="0"/>
        <v>0.20712227653559118</v>
      </c>
      <c r="E18" s="16">
        <v>1195401</v>
      </c>
      <c r="F18" s="15">
        <f t="shared" si="1"/>
        <v>0.17873719069855082</v>
      </c>
      <c r="G18" s="14">
        <v>11199</v>
      </c>
      <c r="H18" s="15">
        <f t="shared" si="2"/>
        <v>2.0840893484219986E-2</v>
      </c>
      <c r="I18" s="14">
        <v>2165416</v>
      </c>
      <c r="J18" s="15">
        <f t="shared" si="3"/>
        <v>0.20570458521890214</v>
      </c>
      <c r="K18" s="14">
        <v>3598075.3720241408</v>
      </c>
      <c r="L18" s="15">
        <f t="shared" si="4"/>
        <v>0.18500040347335331</v>
      </c>
      <c r="U18" s="192"/>
    </row>
    <row r="19" spans="1:21">
      <c r="A19" s="191"/>
      <c r="B19" s="16" t="s">
        <v>21</v>
      </c>
      <c r="C19" s="16">
        <v>374976</v>
      </c>
      <c r="D19" s="15">
        <f t="shared" si="0"/>
        <v>3.3260594434008819E-2</v>
      </c>
      <c r="E19" s="16">
        <v>136936</v>
      </c>
      <c r="F19" s="15">
        <f t="shared" si="1"/>
        <v>2.0474766162565328E-2</v>
      </c>
      <c r="G19" s="14">
        <v>20</v>
      </c>
      <c r="H19" s="15">
        <f t="shared" si="2"/>
        <v>3.7219204365068288E-5</v>
      </c>
      <c r="I19" s="14">
        <v>357053</v>
      </c>
      <c r="J19" s="15">
        <f t="shared" si="3"/>
        <v>3.3918396865158781E-2</v>
      </c>
      <c r="K19" s="14">
        <v>551681.28953599161</v>
      </c>
      <c r="L19" s="15">
        <f t="shared" si="4"/>
        <v>2.8365515060192446E-2</v>
      </c>
      <c r="U19" s="192"/>
    </row>
    <row r="20" spans="1:21">
      <c r="A20" s="191"/>
      <c r="B20" s="16" t="s">
        <v>22</v>
      </c>
      <c r="C20" s="16">
        <v>273902</v>
      </c>
      <c r="D20" s="15">
        <f t="shared" si="0"/>
        <v>2.4295270461746576E-2</v>
      </c>
      <c r="E20" s="16">
        <v>125244</v>
      </c>
      <c r="F20" s="15">
        <f t="shared" si="1"/>
        <v>1.8726570173397294E-2</v>
      </c>
      <c r="G20" s="14">
        <v>2127</v>
      </c>
      <c r="H20" s="15">
        <f t="shared" si="2"/>
        <v>3.9582623842250126E-3</v>
      </c>
      <c r="I20" s="14">
        <v>254468</v>
      </c>
      <c r="J20" s="15">
        <f t="shared" si="3"/>
        <v>2.4173292518150594E-2</v>
      </c>
      <c r="K20" s="14">
        <v>390598.40081918705</v>
      </c>
      <c r="L20" s="15">
        <f t="shared" si="4"/>
        <v>2.0083198453662455E-2</v>
      </c>
      <c r="U20" s="192"/>
    </row>
    <row r="21" spans="1:21">
      <c r="A21" s="191"/>
      <c r="B21" s="16" t="s">
        <v>23</v>
      </c>
      <c r="C21" s="16">
        <v>442241</v>
      </c>
      <c r="D21" s="15">
        <f t="shared" si="0"/>
        <v>3.9227039978799963E-2</v>
      </c>
      <c r="E21" s="16">
        <v>144442</v>
      </c>
      <c r="F21" s="15">
        <f t="shared" si="1"/>
        <v>2.1597068514147201E-2</v>
      </c>
      <c r="G21" s="14">
        <v>175</v>
      </c>
      <c r="H21" s="15">
        <f t="shared" si="2"/>
        <v>3.2566803819434752E-4</v>
      </c>
      <c r="I21" s="14">
        <v>414536</v>
      </c>
      <c r="J21" s="15">
        <f t="shared" si="3"/>
        <v>3.9379018137070579E-2</v>
      </c>
      <c r="K21" s="14">
        <v>521190.28420173394</v>
      </c>
      <c r="L21" s="15">
        <f t="shared" si="4"/>
        <v>2.679777461400704E-2</v>
      </c>
      <c r="U21" s="192"/>
    </row>
    <row r="22" spans="1:21">
      <c r="A22" s="191"/>
      <c r="B22" s="16" t="s">
        <v>24</v>
      </c>
      <c r="C22" s="16">
        <v>719039</v>
      </c>
      <c r="D22" s="15">
        <f t="shared" si="0"/>
        <v>6.3779187364618711E-2</v>
      </c>
      <c r="E22" s="16">
        <v>245492</v>
      </c>
      <c r="F22" s="15">
        <f t="shared" si="1"/>
        <v>3.6706134944649235E-2</v>
      </c>
      <c r="G22" s="14">
        <v>36</v>
      </c>
      <c r="H22" s="15">
        <f t="shared" si="2"/>
        <v>6.6994567857122912E-5</v>
      </c>
      <c r="I22" s="14">
        <v>694582</v>
      </c>
      <c r="J22" s="15">
        <f t="shared" si="3"/>
        <v>6.5982103305099571E-2</v>
      </c>
      <c r="K22" s="14">
        <v>996151.78686021792</v>
      </c>
      <c r="L22" s="15">
        <f t="shared" si="4"/>
        <v>5.1218627581491837E-2</v>
      </c>
      <c r="U22" s="192"/>
    </row>
    <row r="23" spans="1:21">
      <c r="A23" s="191"/>
      <c r="B23" s="16" t="s">
        <v>25</v>
      </c>
      <c r="C23" s="16">
        <v>311353</v>
      </c>
      <c r="D23" s="15">
        <f t="shared" si="0"/>
        <v>2.7617196457405135E-2</v>
      </c>
      <c r="E23" s="16">
        <v>203269</v>
      </c>
      <c r="F23" s="15">
        <f t="shared" si="1"/>
        <v>3.0392922555781472E-2</v>
      </c>
      <c r="G23" s="14">
        <v>1</v>
      </c>
      <c r="H23" s="15">
        <f t="shared" si="2"/>
        <v>1.8609602182534144E-6</v>
      </c>
      <c r="I23" s="14">
        <v>304283</v>
      </c>
      <c r="J23" s="15">
        <f t="shared" si="3"/>
        <v>2.890548897032404E-2</v>
      </c>
      <c r="K23" s="14">
        <v>1410000</v>
      </c>
      <c r="L23" s="15">
        <f t="shared" si="4"/>
        <v>7.2497249759024232E-2</v>
      </c>
      <c r="U23" s="192"/>
    </row>
    <row r="24" spans="1:21">
      <c r="A24" s="191"/>
      <c r="B24" s="16" t="s">
        <v>26</v>
      </c>
      <c r="C24" s="16">
        <f>129552*$O$24</f>
        <v>28991.491925129332</v>
      </c>
      <c r="D24" s="15">
        <f t="shared" si="0"/>
        <v>2.5715625932288154E-3</v>
      </c>
      <c r="E24" s="16">
        <f>93701*$O$24</f>
        <v>20968.659572037046</v>
      </c>
      <c r="F24" s="15">
        <f t="shared" si="1"/>
        <v>3.1352485940869873E-3</v>
      </c>
      <c r="G24" s="14">
        <v>1</v>
      </c>
      <c r="H24" s="15">
        <f t="shared" si="2"/>
        <v>1.8609602182534144E-6</v>
      </c>
      <c r="I24" s="14">
        <f>125502*$O$24</f>
        <v>28085.172128470276</v>
      </c>
      <c r="J24" s="15">
        <f t="shared" si="3"/>
        <v>2.6679624993481386E-3</v>
      </c>
      <c r="K24" s="14">
        <v>58927.81333557691</v>
      </c>
      <c r="L24" s="15">
        <f t="shared" si="4"/>
        <v>3.0298612774060127E-3</v>
      </c>
      <c r="N24" s="193" t="s">
        <v>27</v>
      </c>
      <c r="O24" s="194">
        <v>0.22378266584174178</v>
      </c>
      <c r="U24" s="192"/>
    </row>
    <row r="25" spans="1:21">
      <c r="A25" s="191"/>
      <c r="B25" s="16" t="s">
        <v>28</v>
      </c>
      <c r="C25" s="16">
        <v>83268</v>
      </c>
      <c r="D25" s="15">
        <f t="shared" si="0"/>
        <v>7.3859211718377881E-3</v>
      </c>
      <c r="E25" s="16">
        <v>32357</v>
      </c>
      <c r="F25" s="15">
        <f t="shared" si="1"/>
        <v>4.8380411923973701E-3</v>
      </c>
      <c r="G25" s="14">
        <v>9882</v>
      </c>
      <c r="H25" s="15">
        <f t="shared" si="2"/>
        <v>1.8390008876780242E-2</v>
      </c>
      <c r="I25" s="14">
        <v>77000</v>
      </c>
      <c r="J25" s="15">
        <f t="shared" si="3"/>
        <v>7.314646729245311E-3</v>
      </c>
      <c r="K25" s="14">
        <v>62356.996010055722</v>
      </c>
      <c r="L25" s="15">
        <f t="shared" si="4"/>
        <v>3.206177811321622E-3</v>
      </c>
      <c r="U25" s="192"/>
    </row>
    <row r="26" spans="1:21">
      <c r="A26" s="191"/>
      <c r="B26" s="16" t="s">
        <v>29</v>
      </c>
      <c r="C26" s="16">
        <v>718273</v>
      </c>
      <c r="D26" s="15">
        <f t="shared" si="0"/>
        <v>6.3711242708596863E-2</v>
      </c>
      <c r="E26" s="16">
        <v>2406.65</v>
      </c>
      <c r="F26" s="15">
        <f t="shared" si="1"/>
        <v>3.5984398540294624E-4</v>
      </c>
      <c r="G26" s="14"/>
      <c r="H26" s="15">
        <f t="shared" si="2"/>
        <v>0</v>
      </c>
      <c r="I26" s="14">
        <v>700774</v>
      </c>
      <c r="J26" s="15">
        <f t="shared" si="3"/>
        <v>6.6570314896625377E-2</v>
      </c>
      <c r="K26" s="14">
        <v>834509.9534211111</v>
      </c>
      <c r="L26" s="15">
        <f t="shared" si="4"/>
        <v>4.2907571999689344E-2</v>
      </c>
      <c r="U26" s="192"/>
    </row>
    <row r="27" spans="1:21" s="18" customFormat="1">
      <c r="A27" s="195"/>
      <c r="B27" s="12" t="s">
        <v>30</v>
      </c>
      <c r="C27" s="11">
        <f>SUM(C16:C26)</f>
        <v>11273881.49192513</v>
      </c>
      <c r="D27" s="10">
        <f t="shared" si="0"/>
        <v>1</v>
      </c>
      <c r="E27" s="11">
        <f>SUM(E16:E26)</f>
        <v>6688037.3095720373</v>
      </c>
      <c r="F27" s="10">
        <f t="shared" si="1"/>
        <v>1</v>
      </c>
      <c r="G27" s="9">
        <v>537357</v>
      </c>
      <c r="H27" s="10">
        <f t="shared" si="2"/>
        <v>1</v>
      </c>
      <c r="I27" s="9">
        <f>SUM(I16:I26)</f>
        <v>10526824.172128471</v>
      </c>
      <c r="J27" s="10">
        <f t="shared" si="3"/>
        <v>1</v>
      </c>
      <c r="K27" s="9">
        <f>SUM(K16:K26)</f>
        <v>19449013.647921003</v>
      </c>
      <c r="L27" s="10">
        <f>K27/$I$27</f>
        <v>1.8475670658027634</v>
      </c>
      <c r="U27" s="196"/>
    </row>
    <row r="28" spans="1:21" s="198" customFormat="1" ht="15.75" thickBot="1">
      <c r="A28" s="197"/>
    </row>
    <row r="30" spans="1:21">
      <c r="B30" s="18" t="s">
        <v>31</v>
      </c>
    </row>
    <row r="32" spans="1:21" s="30" customFormat="1">
      <c r="C32" s="204" t="s">
        <v>32</v>
      </c>
      <c r="D32" s="204"/>
      <c r="E32" s="204"/>
      <c r="F32" s="204"/>
      <c r="G32" s="204"/>
    </row>
    <row r="33" spans="2:12" ht="45">
      <c r="B33" s="21"/>
      <c r="C33" s="20" t="str">
        <f t="shared" ref="C33:C45" si="5">C15</f>
        <v>2027 Forecast MWh (with losses)</v>
      </c>
      <c r="D33" s="19" t="s">
        <v>33</v>
      </c>
      <c r="E33" s="6" t="s">
        <v>34</v>
      </c>
      <c r="F33" s="6" t="s">
        <v>17</v>
      </c>
      <c r="G33" s="6" t="s">
        <v>35</v>
      </c>
      <c r="I33" s="18" t="s">
        <v>36</v>
      </c>
    </row>
    <row r="34" spans="2:12">
      <c r="B34" s="16" t="s">
        <v>18</v>
      </c>
      <c r="C34" s="16">
        <f t="shared" si="5"/>
        <v>5601352</v>
      </c>
      <c r="D34" s="15">
        <f t="shared" ref="D34:D45" si="6">C34/C$45</f>
        <v>0.49684325704611537</v>
      </c>
      <c r="E34" s="14">
        <f t="shared" ref="E34:E44" si="7">D16*$E$45</f>
        <v>9875194.4767073691</v>
      </c>
      <c r="F34" s="14">
        <f t="shared" ref="F34:F44" si="8">I16</f>
        <v>5174286</v>
      </c>
      <c r="G34" s="13">
        <f t="shared" ref="G34:G44" si="9">E34/(F34*1000)*100</f>
        <v>0.19085134599647893</v>
      </c>
      <c r="I34" s="17" t="s">
        <v>37</v>
      </c>
    </row>
    <row r="35" spans="2:12">
      <c r="B35" s="16" t="s">
        <v>19</v>
      </c>
      <c r="C35" s="16">
        <f t="shared" si="5"/>
        <v>385414</v>
      </c>
      <c r="D35" s="15">
        <f t="shared" si="6"/>
        <v>3.4186451248050739E-2</v>
      </c>
      <c r="E35" s="14">
        <f t="shared" si="7"/>
        <v>679485.63204842212</v>
      </c>
      <c r="F35" s="14">
        <f t="shared" si="8"/>
        <v>356341</v>
      </c>
      <c r="G35" s="13">
        <f t="shared" si="9"/>
        <v>0.19068410091693691</v>
      </c>
      <c r="H35" s="29"/>
    </row>
    <row r="36" spans="2:12">
      <c r="B36" s="16" t="s">
        <v>20</v>
      </c>
      <c r="C36" s="16">
        <f t="shared" si="5"/>
        <v>2335072</v>
      </c>
      <c r="D36" s="15">
        <f t="shared" si="6"/>
        <v>0.20712227653559118</v>
      </c>
      <c r="E36" s="14">
        <f t="shared" si="7"/>
        <v>4116736.4802487022</v>
      </c>
      <c r="F36" s="14">
        <f t="shared" si="8"/>
        <v>2165416</v>
      </c>
      <c r="G36" s="13">
        <f t="shared" si="9"/>
        <v>0.19011296121616825</v>
      </c>
      <c r="I36" s="18" t="s">
        <v>38</v>
      </c>
    </row>
    <row r="37" spans="2:12">
      <c r="B37" s="16" t="s">
        <v>21</v>
      </c>
      <c r="C37" s="16">
        <f t="shared" si="5"/>
        <v>374976</v>
      </c>
      <c r="D37" s="15">
        <f t="shared" si="6"/>
        <v>3.3260594434008819E-2</v>
      </c>
      <c r="E37" s="14">
        <f t="shared" si="7"/>
        <v>661083.41773518652</v>
      </c>
      <c r="F37" s="14">
        <f t="shared" si="8"/>
        <v>357053</v>
      </c>
      <c r="G37" s="13">
        <f t="shared" si="9"/>
        <v>0.18514994069093008</v>
      </c>
      <c r="I37" s="17" t="s">
        <v>39</v>
      </c>
    </row>
    <row r="38" spans="2:12">
      <c r="B38" s="16" t="s">
        <v>22</v>
      </c>
      <c r="C38" s="16">
        <f t="shared" si="5"/>
        <v>273902</v>
      </c>
      <c r="D38" s="15">
        <f t="shared" si="6"/>
        <v>2.4295270461746576E-2</v>
      </c>
      <c r="E38" s="14">
        <f t="shared" si="7"/>
        <v>482889.7590365865</v>
      </c>
      <c r="F38" s="14">
        <f t="shared" si="8"/>
        <v>254468</v>
      </c>
      <c r="G38" s="13">
        <f t="shared" si="9"/>
        <v>0.1897644336563287</v>
      </c>
    </row>
    <row r="39" spans="2:12">
      <c r="B39" s="16" t="s">
        <v>23</v>
      </c>
      <c r="C39" s="16">
        <f t="shared" si="5"/>
        <v>442241</v>
      </c>
      <c r="D39" s="15">
        <f t="shared" si="6"/>
        <v>3.9227039978799963E-2</v>
      </c>
      <c r="E39" s="14">
        <f t="shared" si="7"/>
        <v>779671.7436385972</v>
      </c>
      <c r="F39" s="14">
        <f t="shared" si="8"/>
        <v>414536</v>
      </c>
      <c r="G39" s="13">
        <f t="shared" si="9"/>
        <v>0.18808299970053197</v>
      </c>
    </row>
    <row r="40" spans="2:12">
      <c r="B40" s="16" t="s">
        <v>24</v>
      </c>
      <c r="C40" s="16">
        <f t="shared" si="5"/>
        <v>719039</v>
      </c>
      <c r="D40" s="15">
        <f t="shared" si="6"/>
        <v>6.3779187364618711E-2</v>
      </c>
      <c r="E40" s="14">
        <f t="shared" si="7"/>
        <v>1267667.1563110459</v>
      </c>
      <c r="F40" s="14">
        <f t="shared" si="8"/>
        <v>694582</v>
      </c>
      <c r="G40" s="13">
        <f t="shared" si="9"/>
        <v>0.18250791934012769</v>
      </c>
    </row>
    <row r="41" spans="2:12">
      <c r="B41" s="16" t="s">
        <v>25</v>
      </c>
      <c r="C41" s="16">
        <f t="shared" si="5"/>
        <v>311353</v>
      </c>
      <c r="D41" s="15">
        <f t="shared" si="6"/>
        <v>2.7617196457405135E-2</v>
      </c>
      <c r="E41" s="14">
        <f t="shared" si="7"/>
        <v>548915.94491941761</v>
      </c>
      <c r="F41" s="14">
        <f t="shared" si="8"/>
        <v>304283</v>
      </c>
      <c r="G41" s="13">
        <f t="shared" si="9"/>
        <v>0.18039652064670639</v>
      </c>
    </row>
    <row r="42" spans="2:12">
      <c r="B42" s="16" t="s">
        <v>26</v>
      </c>
      <c r="C42" s="16">
        <f t="shared" si="5"/>
        <v>28991.491925129332</v>
      </c>
      <c r="D42" s="15">
        <f t="shared" si="6"/>
        <v>2.5715625932288154E-3</v>
      </c>
      <c r="E42" s="14">
        <f t="shared" si="7"/>
        <v>51112.056683911935</v>
      </c>
      <c r="F42" s="14">
        <f t="shared" si="8"/>
        <v>28085.172128470276</v>
      </c>
      <c r="G42" s="13">
        <f t="shared" si="9"/>
        <v>0.1819894727727128</v>
      </c>
    </row>
    <row r="43" spans="2:12">
      <c r="B43" s="16" t="s">
        <v>28</v>
      </c>
      <c r="C43" s="16">
        <f t="shared" si="5"/>
        <v>83268</v>
      </c>
      <c r="D43" s="15">
        <f t="shared" si="6"/>
        <v>7.3859211718377881E-3</v>
      </c>
      <c r="E43" s="14">
        <f t="shared" si="7"/>
        <v>146801.64604660968</v>
      </c>
      <c r="F43" s="14">
        <f t="shared" si="8"/>
        <v>77000</v>
      </c>
      <c r="G43" s="13">
        <f t="shared" si="9"/>
        <v>0.19065148837222035</v>
      </c>
    </row>
    <row r="44" spans="2:12">
      <c r="B44" s="16" t="s">
        <v>29</v>
      </c>
      <c r="C44" s="16">
        <f t="shared" si="5"/>
        <v>718273</v>
      </c>
      <c r="D44" s="15">
        <f t="shared" si="6"/>
        <v>6.3711242708596863E-2</v>
      </c>
      <c r="E44" s="14">
        <f t="shared" si="7"/>
        <v>1266316.6968203448</v>
      </c>
      <c r="F44" s="14">
        <f t="shared" si="8"/>
        <v>700774</v>
      </c>
      <c r="G44" s="13">
        <f t="shared" si="9"/>
        <v>0.18070257983605911</v>
      </c>
    </row>
    <row r="45" spans="2:12">
      <c r="B45" s="12" t="s">
        <v>30</v>
      </c>
      <c r="C45" s="11">
        <f t="shared" si="5"/>
        <v>11273881.49192513</v>
      </c>
      <c r="D45" s="10">
        <f t="shared" si="6"/>
        <v>1</v>
      </c>
      <c r="E45" s="9">
        <f>$D$9</f>
        <v>19875875.010196194</v>
      </c>
      <c r="F45" s="9">
        <f>SUM(F34:F44)</f>
        <v>10526824.172128471</v>
      </c>
      <c r="G45" s="8">
        <f>E45/F45/10</f>
        <v>0.18881169368080547</v>
      </c>
    </row>
    <row r="47" spans="2:12">
      <c r="C47" s="204" t="s">
        <v>40</v>
      </c>
      <c r="D47" s="204"/>
      <c r="E47" s="204"/>
      <c r="F47" s="204"/>
      <c r="G47" s="204"/>
      <c r="H47" s="204"/>
      <c r="I47" s="204"/>
      <c r="J47" s="204"/>
      <c r="L47" s="25"/>
    </row>
    <row r="48" spans="2:12" ht="45">
      <c r="B48" s="21"/>
      <c r="C48" s="20" t="str">
        <f t="shared" ref="C48:C60" si="10">C33</f>
        <v>2027 Forecast MWh (with losses)</v>
      </c>
      <c r="D48" s="19" t="s">
        <v>33</v>
      </c>
      <c r="E48" s="20" t="s">
        <v>15</v>
      </c>
      <c r="F48" s="19" t="s">
        <v>41</v>
      </c>
      <c r="G48" s="19" t="s">
        <v>42</v>
      </c>
      <c r="H48" s="6" t="s">
        <v>34</v>
      </c>
      <c r="I48" s="6" t="s">
        <v>17</v>
      </c>
      <c r="J48" s="6" t="s">
        <v>35</v>
      </c>
    </row>
    <row r="49" spans="2:13">
      <c r="B49" s="16" t="s">
        <v>18</v>
      </c>
      <c r="C49" s="16">
        <f t="shared" si="10"/>
        <v>5601352</v>
      </c>
      <c r="D49" s="15">
        <f t="shared" ref="D49:D60" si="11">C49/C$60</f>
        <v>0.49684325704611537</v>
      </c>
      <c r="E49" s="16">
        <f t="shared" ref="E49:E60" si="12">E16</f>
        <v>4351189</v>
      </c>
      <c r="F49" s="15">
        <f t="shared" ref="F49:F60" si="13">E49/E$60</f>
        <v>0.65059281200068986</v>
      </c>
      <c r="G49" s="15">
        <f t="shared" ref="G49:G60" si="14">($L$59*D49+$M$59*F49)</f>
        <v>0.57093727394762772</v>
      </c>
      <c r="H49" s="14">
        <f t="shared" ref="H49:H59" si="15">$H$60*G49</f>
        <v>11347877.895645192</v>
      </c>
      <c r="I49" s="14">
        <f t="shared" ref="I49:I59" si="16">I16</f>
        <v>5174286</v>
      </c>
      <c r="J49" s="13">
        <f t="shared" ref="J49:J59" si="17">H49/(I49*1000)*100</f>
        <v>0.2193129234766921</v>
      </c>
      <c r="L49" s="18" t="s">
        <v>36</v>
      </c>
    </row>
    <row r="50" spans="2:13">
      <c r="B50" s="16" t="s">
        <v>19</v>
      </c>
      <c r="C50" s="16">
        <f t="shared" si="10"/>
        <v>385414</v>
      </c>
      <c r="D50" s="15">
        <f t="shared" si="11"/>
        <v>3.4186451248050739E-2</v>
      </c>
      <c r="E50" s="16">
        <f t="shared" si="12"/>
        <v>230332</v>
      </c>
      <c r="F50" s="15">
        <f t="shared" si="13"/>
        <v>3.4439401178331462E-2</v>
      </c>
      <c r="G50" s="15">
        <f t="shared" si="14"/>
        <v>3.4308351284867061E-2</v>
      </c>
      <c r="H50" s="14">
        <f t="shared" si="15"/>
        <v>681908.50194392167</v>
      </c>
      <c r="I50" s="14">
        <f t="shared" si="16"/>
        <v>356341</v>
      </c>
      <c r="J50" s="13">
        <f t="shared" si="17"/>
        <v>0.19136403106684935</v>
      </c>
      <c r="L50" s="17" t="s">
        <v>43</v>
      </c>
    </row>
    <row r="51" spans="2:13">
      <c r="B51" s="16" t="s">
        <v>20</v>
      </c>
      <c r="C51" s="16">
        <f t="shared" si="10"/>
        <v>2335072</v>
      </c>
      <c r="D51" s="15">
        <f t="shared" si="11"/>
        <v>0.20712227653559118</v>
      </c>
      <c r="E51" s="16">
        <f t="shared" si="12"/>
        <v>1195401</v>
      </c>
      <c r="F51" s="15">
        <f t="shared" si="13"/>
        <v>0.17873719069855082</v>
      </c>
      <c r="G51" s="15">
        <f t="shared" si="14"/>
        <v>0.19344311479504545</v>
      </c>
      <c r="H51" s="14">
        <f t="shared" si="15"/>
        <v>3844851.1712493575</v>
      </c>
      <c r="I51" s="14">
        <f t="shared" si="16"/>
        <v>2165416</v>
      </c>
      <c r="J51" s="13">
        <f t="shared" si="17"/>
        <v>0.1775571608988461</v>
      </c>
    </row>
    <row r="52" spans="2:13">
      <c r="B52" s="16" t="s">
        <v>21</v>
      </c>
      <c r="C52" s="16">
        <f t="shared" si="10"/>
        <v>374976</v>
      </c>
      <c r="D52" s="15">
        <f t="shared" si="11"/>
        <v>3.3260594434008819E-2</v>
      </c>
      <c r="E52" s="16">
        <f t="shared" si="12"/>
        <v>136936</v>
      </c>
      <c r="F52" s="15">
        <f t="shared" si="13"/>
        <v>2.0474766162565328E-2</v>
      </c>
      <c r="G52" s="15">
        <f t="shared" si="14"/>
        <v>2.709892862415288E-2</v>
      </c>
      <c r="H52" s="14">
        <f t="shared" si="15"/>
        <v>538614.91824389051</v>
      </c>
      <c r="I52" s="14">
        <f t="shared" si="16"/>
        <v>357053</v>
      </c>
      <c r="J52" s="13">
        <f t="shared" si="17"/>
        <v>0.15085013100124928</v>
      </c>
      <c r="L52" s="18" t="s">
        <v>38</v>
      </c>
    </row>
    <row r="53" spans="2:13">
      <c r="B53" s="16" t="s">
        <v>22</v>
      </c>
      <c r="C53" s="16">
        <f t="shared" si="10"/>
        <v>273902</v>
      </c>
      <c r="D53" s="15">
        <f t="shared" si="11"/>
        <v>2.4295270461746576E-2</v>
      </c>
      <c r="E53" s="16">
        <f t="shared" si="12"/>
        <v>125244</v>
      </c>
      <c r="F53" s="15">
        <f t="shared" si="13"/>
        <v>1.8726570173397294E-2</v>
      </c>
      <c r="G53" s="15">
        <f t="shared" si="14"/>
        <v>2.1611637501597107E-2</v>
      </c>
      <c r="H53" s="14">
        <f t="shared" si="15"/>
        <v>429550.20574741287</v>
      </c>
      <c r="I53" s="14">
        <f t="shared" si="16"/>
        <v>254468</v>
      </c>
      <c r="J53" s="13">
        <f t="shared" si="17"/>
        <v>0.16880323095533145</v>
      </c>
      <c r="L53" s="17" t="s">
        <v>44</v>
      </c>
    </row>
    <row r="54" spans="2:13">
      <c r="B54" s="16" t="s">
        <v>23</v>
      </c>
      <c r="C54" s="16">
        <f t="shared" si="10"/>
        <v>442241</v>
      </c>
      <c r="D54" s="15">
        <f t="shared" si="11"/>
        <v>3.9227039978799963E-2</v>
      </c>
      <c r="E54" s="16">
        <f t="shared" si="12"/>
        <v>144442</v>
      </c>
      <c r="F54" s="15">
        <f t="shared" si="13"/>
        <v>2.1597068514147201E-2</v>
      </c>
      <c r="G54" s="15">
        <f t="shared" si="14"/>
        <v>3.073091519937473E-2</v>
      </c>
      <c r="H54" s="14">
        <f t="shared" si="15"/>
        <v>610803.82945171057</v>
      </c>
      <c r="I54" s="14">
        <f t="shared" si="16"/>
        <v>414536</v>
      </c>
      <c r="J54" s="13">
        <f t="shared" si="17"/>
        <v>0.14734638956609572</v>
      </c>
      <c r="L54" s="17" t="s">
        <v>45</v>
      </c>
    </row>
    <row r="55" spans="2:13">
      <c r="B55" s="16" t="s">
        <v>24</v>
      </c>
      <c r="C55" s="16">
        <f t="shared" si="10"/>
        <v>719039</v>
      </c>
      <c r="D55" s="15">
        <f t="shared" si="11"/>
        <v>6.3779187364618711E-2</v>
      </c>
      <c r="E55" s="16">
        <f t="shared" si="12"/>
        <v>245492</v>
      </c>
      <c r="F55" s="15">
        <f t="shared" si="13"/>
        <v>3.6706134944649235E-2</v>
      </c>
      <c r="G55" s="15">
        <f t="shared" si="14"/>
        <v>5.0732312502617269E-2</v>
      </c>
      <c r="H55" s="14">
        <f t="shared" si="15"/>
        <v>1008349.1022802346</v>
      </c>
      <c r="I55" s="14">
        <f t="shared" si="16"/>
        <v>694582</v>
      </c>
      <c r="J55" s="13">
        <f t="shared" si="17"/>
        <v>0.14517351475855039</v>
      </c>
    </row>
    <row r="56" spans="2:13">
      <c r="B56" s="16" t="s">
        <v>25</v>
      </c>
      <c r="C56" s="16">
        <f t="shared" si="10"/>
        <v>311353</v>
      </c>
      <c r="D56" s="15">
        <f t="shared" si="11"/>
        <v>2.7617196457405135E-2</v>
      </c>
      <c r="E56" s="16">
        <f t="shared" si="12"/>
        <v>203269</v>
      </c>
      <c r="F56" s="15">
        <f t="shared" si="13"/>
        <v>3.0392922555781472E-2</v>
      </c>
      <c r="G56" s="15">
        <f t="shared" si="14"/>
        <v>2.895485689166024E-2</v>
      </c>
      <c r="H56" s="14">
        <f t="shared" si="15"/>
        <v>575503.11651675683</v>
      </c>
      <c r="I56" s="14">
        <f t="shared" si="16"/>
        <v>304283</v>
      </c>
      <c r="J56" s="13">
        <f t="shared" si="17"/>
        <v>0.18913416671873118</v>
      </c>
    </row>
    <row r="57" spans="2:13">
      <c r="B57" s="16" t="s">
        <v>46</v>
      </c>
      <c r="C57" s="16">
        <f t="shared" si="10"/>
        <v>28991.491925129332</v>
      </c>
      <c r="D57" s="15">
        <f t="shared" si="11"/>
        <v>2.5715625932288154E-3</v>
      </c>
      <c r="E57" s="16">
        <f t="shared" si="12"/>
        <v>20968.659572037046</v>
      </c>
      <c r="F57" s="15">
        <f t="shared" si="13"/>
        <v>3.1352485940869873E-3</v>
      </c>
      <c r="G57" s="15">
        <f t="shared" si="14"/>
        <v>2.84321059954058E-3</v>
      </c>
      <c r="H57" s="14">
        <f t="shared" si="15"/>
        <v>56511.298504133556</v>
      </c>
      <c r="I57" s="14">
        <f t="shared" si="16"/>
        <v>28085.172128470276</v>
      </c>
      <c r="J57" s="13">
        <f t="shared" si="17"/>
        <v>0.20121400091704394</v>
      </c>
    </row>
    <row r="58" spans="2:13">
      <c r="B58" s="16" t="s">
        <v>28</v>
      </c>
      <c r="C58" s="16">
        <f t="shared" si="10"/>
        <v>83268</v>
      </c>
      <c r="D58" s="15">
        <f t="shared" si="11"/>
        <v>7.3859211718377881E-3</v>
      </c>
      <c r="E58" s="16">
        <f t="shared" si="12"/>
        <v>32357</v>
      </c>
      <c r="F58" s="15">
        <f t="shared" si="13"/>
        <v>4.8380411923973701E-3</v>
      </c>
      <c r="G58" s="15">
        <f t="shared" si="14"/>
        <v>6.1580629037897329E-3</v>
      </c>
      <c r="H58" s="14">
        <f t="shared" si="15"/>
        <v>122396.88858065056</v>
      </c>
      <c r="I58" s="14">
        <f t="shared" si="16"/>
        <v>77000</v>
      </c>
      <c r="J58" s="13">
        <f t="shared" si="17"/>
        <v>0.15895699815668904</v>
      </c>
      <c r="L58" s="1" t="s">
        <v>47</v>
      </c>
      <c r="M58" s="1" t="s">
        <v>48</v>
      </c>
    </row>
    <row r="59" spans="2:13">
      <c r="B59" s="16" t="s">
        <v>29</v>
      </c>
      <c r="C59" s="16">
        <f t="shared" si="10"/>
        <v>718273</v>
      </c>
      <c r="D59" s="15">
        <f t="shared" si="11"/>
        <v>6.3711242708596863E-2</v>
      </c>
      <c r="E59" s="16">
        <f t="shared" si="12"/>
        <v>2406.65</v>
      </c>
      <c r="F59" s="15">
        <f t="shared" si="13"/>
        <v>3.5984398540294624E-4</v>
      </c>
      <c r="G59" s="15">
        <f t="shared" si="14"/>
        <v>3.3181335749727203E-2</v>
      </c>
      <c r="H59" s="14">
        <f t="shared" si="15"/>
        <v>659508.08203293255</v>
      </c>
      <c r="I59" s="14">
        <f t="shared" si="16"/>
        <v>700774</v>
      </c>
      <c r="J59" s="13">
        <f t="shared" si="17"/>
        <v>9.4111379993112268E-2</v>
      </c>
      <c r="L59" s="28">
        <v>0.5180863</v>
      </c>
      <c r="M59" s="28">
        <f>1-L59</f>
        <v>0.4819137</v>
      </c>
    </row>
    <row r="60" spans="2:13">
      <c r="B60" s="12" t="s">
        <v>30</v>
      </c>
      <c r="C60" s="11">
        <f t="shared" si="10"/>
        <v>11273881.49192513</v>
      </c>
      <c r="D60" s="10">
        <f t="shared" si="11"/>
        <v>1</v>
      </c>
      <c r="E60" s="11">
        <f t="shared" si="12"/>
        <v>6688037.3095720373</v>
      </c>
      <c r="F60" s="10">
        <f t="shared" si="13"/>
        <v>1</v>
      </c>
      <c r="G60" s="10">
        <f t="shared" si="14"/>
        <v>1</v>
      </c>
      <c r="H60" s="9">
        <f>$D$9</f>
        <v>19875875.010196194</v>
      </c>
      <c r="I60" s="9">
        <f>SUM(I49:I59)</f>
        <v>10526824.172128471</v>
      </c>
      <c r="J60" s="8">
        <f>H60/I60/10</f>
        <v>0.18881169368080547</v>
      </c>
    </row>
    <row r="61" spans="2:13">
      <c r="K61" s="24"/>
    </row>
    <row r="62" spans="2:13">
      <c r="C62" s="206" t="s">
        <v>49</v>
      </c>
      <c r="D62" s="206"/>
      <c r="E62" s="206"/>
      <c r="F62" s="206"/>
      <c r="G62" s="207"/>
    </row>
    <row r="63" spans="2:13" ht="45">
      <c r="B63" s="21"/>
      <c r="C63" s="27" t="str">
        <f t="shared" ref="C63:C75" si="18">E15</f>
        <v>3CP</v>
      </c>
      <c r="D63" s="19" t="s">
        <v>41</v>
      </c>
      <c r="E63" s="6" t="s">
        <v>34</v>
      </c>
      <c r="F63" s="6" t="s">
        <v>17</v>
      </c>
      <c r="G63" s="6" t="s">
        <v>35</v>
      </c>
    </row>
    <row r="64" spans="2:13">
      <c r="B64" s="16" t="s">
        <v>18</v>
      </c>
      <c r="C64" s="16">
        <f t="shared" si="18"/>
        <v>4351189</v>
      </c>
      <c r="D64" s="15">
        <f t="shared" ref="D64:D75" si="19">F16</f>
        <v>0.65059281200068986</v>
      </c>
      <c r="E64" s="14">
        <f t="shared" ref="E64:E74" si="20">$E$75*D64</f>
        <v>12931101.413857782</v>
      </c>
      <c r="F64" s="14">
        <f t="shared" ref="F64:F74" si="21">I16</f>
        <v>5174286</v>
      </c>
      <c r="G64" s="13">
        <f t="shared" ref="G64:G74" si="22">E64/(F64*1000)*100</f>
        <v>0.24991083627495239</v>
      </c>
      <c r="I64" s="18" t="s">
        <v>36</v>
      </c>
    </row>
    <row r="65" spans="2:9">
      <c r="B65" s="16" t="s">
        <v>19</v>
      </c>
      <c r="C65" s="16">
        <f t="shared" si="18"/>
        <v>230332</v>
      </c>
      <c r="D65" s="15">
        <f t="shared" si="19"/>
        <v>3.4439401178331462E-2</v>
      </c>
      <c r="E65" s="14">
        <f t="shared" si="20"/>
        <v>684513.2332465197</v>
      </c>
      <c r="F65" s="14">
        <f t="shared" si="21"/>
        <v>356341</v>
      </c>
      <c r="G65" s="13">
        <f t="shared" si="22"/>
        <v>0.19209499699628158</v>
      </c>
      <c r="I65" s="17" t="s">
        <v>50</v>
      </c>
    </row>
    <row r="66" spans="2:9">
      <c r="B66" s="16" t="s">
        <v>20</v>
      </c>
      <c r="C66" s="16">
        <f t="shared" si="18"/>
        <v>1195401</v>
      </c>
      <c r="D66" s="15">
        <f t="shared" si="19"/>
        <v>0.17873719069855082</v>
      </c>
      <c r="E66" s="14">
        <f t="shared" si="20"/>
        <v>3552558.061997998</v>
      </c>
      <c r="F66" s="14">
        <f t="shared" si="21"/>
        <v>2165416</v>
      </c>
      <c r="G66" s="13">
        <f t="shared" si="22"/>
        <v>0.16405891810155637</v>
      </c>
    </row>
    <row r="67" spans="2:9">
      <c r="B67" s="16" t="s">
        <v>21</v>
      </c>
      <c r="C67" s="16">
        <f t="shared" si="18"/>
        <v>136936</v>
      </c>
      <c r="D67" s="15">
        <f t="shared" si="19"/>
        <v>2.0474766162565328E-2</v>
      </c>
      <c r="E67" s="14">
        <f t="shared" si="20"/>
        <v>406953.89311014285</v>
      </c>
      <c r="F67" s="14">
        <f t="shared" si="21"/>
        <v>357053</v>
      </c>
      <c r="G67" s="13">
        <f t="shared" si="22"/>
        <v>0.1139757663736596</v>
      </c>
      <c r="I67" s="18" t="s">
        <v>38</v>
      </c>
    </row>
    <row r="68" spans="2:9">
      <c r="B68" s="16" t="s">
        <v>22</v>
      </c>
      <c r="C68" s="16">
        <f t="shared" si="18"/>
        <v>125244</v>
      </c>
      <c r="D68" s="15">
        <f t="shared" si="19"/>
        <v>1.8726570173397294E-2</v>
      </c>
      <c r="E68" s="14">
        <f t="shared" si="20"/>
        <v>372206.96813611267</v>
      </c>
      <c r="F68" s="14">
        <f t="shared" si="21"/>
        <v>254468</v>
      </c>
      <c r="G68" s="13">
        <f t="shared" si="22"/>
        <v>0.14626867352127287</v>
      </c>
      <c r="I68" s="17" t="s">
        <v>51</v>
      </c>
    </row>
    <row r="69" spans="2:9">
      <c r="B69" s="16" t="s">
        <v>23</v>
      </c>
      <c r="C69" s="16">
        <f t="shared" si="18"/>
        <v>144442</v>
      </c>
      <c r="D69" s="15">
        <f t="shared" si="19"/>
        <v>2.1597068514147201E-2</v>
      </c>
      <c r="E69" s="14">
        <f t="shared" si="20"/>
        <v>429260.63437383343</v>
      </c>
      <c r="F69" s="14">
        <f t="shared" si="21"/>
        <v>414536</v>
      </c>
      <c r="G69" s="13">
        <f t="shared" si="22"/>
        <v>0.10355207614630174</v>
      </c>
      <c r="I69" s="17" t="s">
        <v>45</v>
      </c>
    </row>
    <row r="70" spans="2:9">
      <c r="B70" s="16" t="s">
        <v>24</v>
      </c>
      <c r="C70" s="16">
        <f t="shared" si="18"/>
        <v>245492</v>
      </c>
      <c r="D70" s="15">
        <f t="shared" si="19"/>
        <v>3.6706134944649235E-2</v>
      </c>
      <c r="E70" s="14">
        <f t="shared" si="20"/>
        <v>729566.55026724294</v>
      </c>
      <c r="F70" s="14">
        <f t="shared" si="21"/>
        <v>694582</v>
      </c>
      <c r="G70" s="13">
        <f t="shared" si="22"/>
        <v>0.10503677755358516</v>
      </c>
    </row>
    <row r="71" spans="2:9">
      <c r="B71" s="16" t="s">
        <v>25</v>
      </c>
      <c r="C71" s="16">
        <f t="shared" si="18"/>
        <v>203269</v>
      </c>
      <c r="D71" s="15">
        <f t="shared" si="19"/>
        <v>3.0392922555781472E-2</v>
      </c>
      <c r="E71" s="14">
        <f t="shared" si="20"/>
        <v>604085.92991328519</v>
      </c>
      <c r="F71" s="14">
        <f t="shared" si="21"/>
        <v>304283</v>
      </c>
      <c r="G71" s="13">
        <f t="shared" si="22"/>
        <v>0.19852766336380445</v>
      </c>
    </row>
    <row r="72" spans="2:9">
      <c r="B72" s="16" t="s">
        <v>46</v>
      </c>
      <c r="C72" s="16">
        <f t="shared" si="18"/>
        <v>20968.659572037046</v>
      </c>
      <c r="D72" s="15">
        <f t="shared" si="19"/>
        <v>3.1352485940869873E-3</v>
      </c>
      <c r="E72" s="14">
        <f t="shared" si="20"/>
        <v>62315.809181966302</v>
      </c>
      <c r="F72" s="14">
        <f t="shared" si="21"/>
        <v>28085.172128470276</v>
      </c>
      <c r="G72" s="13">
        <f t="shared" si="22"/>
        <v>0.22188152843398817</v>
      </c>
    </row>
    <row r="73" spans="2:9">
      <c r="B73" s="16" t="s">
        <v>28</v>
      </c>
      <c r="C73" s="16">
        <f t="shared" si="18"/>
        <v>32357</v>
      </c>
      <c r="D73" s="15">
        <f t="shared" si="19"/>
        <v>4.8380411923973701E-3</v>
      </c>
      <c r="E73" s="14">
        <f t="shared" si="20"/>
        <v>96160.302034270688</v>
      </c>
      <c r="F73" s="14">
        <f t="shared" si="21"/>
        <v>77000</v>
      </c>
      <c r="G73" s="13">
        <f t="shared" si="22"/>
        <v>0.12488350913541647</v>
      </c>
    </row>
    <row r="74" spans="2:9">
      <c r="B74" s="16" t="s">
        <v>29</v>
      </c>
      <c r="C74" s="16">
        <f t="shared" si="18"/>
        <v>2406.65</v>
      </c>
      <c r="D74" s="15">
        <f t="shared" si="19"/>
        <v>3.5984398540294624E-4</v>
      </c>
      <c r="E74" s="14">
        <f t="shared" si="20"/>
        <v>7152.2140770398237</v>
      </c>
      <c r="F74" s="14">
        <f t="shared" si="21"/>
        <v>700774</v>
      </c>
      <c r="G74" s="13">
        <f t="shared" si="22"/>
        <v>1.0206163580612044E-3</v>
      </c>
    </row>
    <row r="75" spans="2:9">
      <c r="B75" s="12" t="s">
        <v>30</v>
      </c>
      <c r="C75" s="11">
        <f t="shared" si="18"/>
        <v>6688037.3095720373</v>
      </c>
      <c r="D75" s="10">
        <f t="shared" si="19"/>
        <v>1</v>
      </c>
      <c r="E75" s="9">
        <f>$D$9</f>
        <v>19875875.010196194</v>
      </c>
      <c r="F75" s="9">
        <f>SUM(F64:F74)</f>
        <v>10526824.172128471</v>
      </c>
      <c r="G75" s="8">
        <f>E75/F75/10</f>
        <v>0.18881169368080547</v>
      </c>
    </row>
    <row r="77" spans="2:9">
      <c r="C77" s="204" t="s">
        <v>52</v>
      </c>
      <c r="D77" s="204"/>
      <c r="E77" s="204"/>
      <c r="F77" s="204"/>
      <c r="G77" s="204"/>
    </row>
    <row r="78" spans="2:9" ht="45">
      <c r="B78" s="21"/>
      <c r="C78" s="26" t="str">
        <f t="shared" ref="C78:C90" si="23">K15</f>
        <v>12CP</v>
      </c>
      <c r="D78" s="19" t="s">
        <v>53</v>
      </c>
      <c r="E78" s="6" t="s">
        <v>34</v>
      </c>
      <c r="F78" s="6" t="s">
        <v>17</v>
      </c>
      <c r="G78" s="6" t="s">
        <v>35</v>
      </c>
    </row>
    <row r="79" spans="2:9">
      <c r="B79" s="16" t="s">
        <v>18</v>
      </c>
      <c r="C79" s="16">
        <f t="shared" si="23"/>
        <v>10379557.284336062</v>
      </c>
      <c r="D79" s="15">
        <f t="shared" ref="D79:D90" si="24">L16</f>
        <v>0.53368039491532682</v>
      </c>
      <c r="E79" s="14">
        <f t="shared" ref="E79:E89" si="25">$E$90*D79</f>
        <v>10607364.82472918</v>
      </c>
      <c r="F79" s="14">
        <f t="shared" ref="F79:F89" si="26">I16</f>
        <v>5174286</v>
      </c>
      <c r="G79" s="13">
        <f t="shared" ref="G79:G89" si="27">E79/(F79*1000)*100</f>
        <v>0.20500151759545532</v>
      </c>
      <c r="I79" s="18" t="s">
        <v>36</v>
      </c>
    </row>
    <row r="80" spans="2:9">
      <c r="B80" s="16" t="s">
        <v>19</v>
      </c>
      <c r="C80" s="16">
        <f t="shared" si="23"/>
        <v>645964.46737692843</v>
      </c>
      <c r="D80" s="15">
        <f t="shared" si="24"/>
        <v>3.3213225054524995E-2</v>
      </c>
      <c r="E80" s="14">
        <f t="shared" si="25"/>
        <v>660141.9098692555</v>
      </c>
      <c r="F80" s="14">
        <f t="shared" si="26"/>
        <v>356341</v>
      </c>
      <c r="G80" s="13">
        <f t="shared" si="27"/>
        <v>0.18525567079546151</v>
      </c>
      <c r="I80" s="17" t="s">
        <v>54</v>
      </c>
    </row>
    <row r="81" spans="2:12">
      <c r="B81" s="16" t="s">
        <v>20</v>
      </c>
      <c r="C81" s="16">
        <f t="shared" si="23"/>
        <v>3598075.3720241408</v>
      </c>
      <c r="D81" s="15">
        <f t="shared" si="24"/>
        <v>0.18500040347335331</v>
      </c>
      <c r="E81" s="14">
        <f t="shared" si="25"/>
        <v>3677044.896272236</v>
      </c>
      <c r="F81" s="14">
        <f t="shared" si="26"/>
        <v>2165416</v>
      </c>
      <c r="G81" s="13">
        <f t="shared" si="27"/>
        <v>0.16980778272037503</v>
      </c>
      <c r="I81" s="17"/>
    </row>
    <row r="82" spans="2:12">
      <c r="B82" s="16" t="s">
        <v>21</v>
      </c>
      <c r="C82" s="16">
        <f t="shared" si="23"/>
        <v>551681.28953599161</v>
      </c>
      <c r="D82" s="15">
        <f t="shared" si="24"/>
        <v>2.8365515060192446E-2</v>
      </c>
      <c r="E82" s="14">
        <f t="shared" si="25"/>
        <v>563789.43193622283</v>
      </c>
      <c r="F82" s="14">
        <f t="shared" si="26"/>
        <v>357053</v>
      </c>
      <c r="G82" s="13">
        <f t="shared" si="27"/>
        <v>0.15790076877556633</v>
      </c>
      <c r="I82" s="18" t="s">
        <v>38</v>
      </c>
    </row>
    <row r="83" spans="2:12">
      <c r="B83" s="16" t="s">
        <v>22</v>
      </c>
      <c r="C83" s="16">
        <f t="shared" si="23"/>
        <v>390598.40081918705</v>
      </c>
      <c r="D83" s="15">
        <f t="shared" si="24"/>
        <v>2.0083198453662455E-2</v>
      </c>
      <c r="E83" s="14">
        <f t="shared" si="25"/>
        <v>399171.14226996043</v>
      </c>
      <c r="F83" s="14">
        <f t="shared" si="26"/>
        <v>254468</v>
      </c>
      <c r="G83" s="13">
        <f t="shared" si="27"/>
        <v>0.15686496623149487</v>
      </c>
      <c r="I83" s="17" t="s">
        <v>55</v>
      </c>
    </row>
    <row r="84" spans="2:12">
      <c r="B84" s="16" t="s">
        <v>23</v>
      </c>
      <c r="C84" s="16">
        <f t="shared" si="23"/>
        <v>521190.28420173394</v>
      </c>
      <c r="D84" s="15">
        <f t="shared" si="24"/>
        <v>2.679777461400704E-2</v>
      </c>
      <c r="E84" s="14">
        <f t="shared" si="25"/>
        <v>532629.21877941245</v>
      </c>
      <c r="F84" s="14">
        <f t="shared" si="26"/>
        <v>414536</v>
      </c>
      <c r="G84" s="13">
        <f t="shared" si="27"/>
        <v>0.12848804899439673</v>
      </c>
      <c r="I84" s="17" t="s">
        <v>51</v>
      </c>
    </row>
    <row r="85" spans="2:12">
      <c r="B85" s="16" t="s">
        <v>24</v>
      </c>
      <c r="C85" s="16">
        <f t="shared" si="23"/>
        <v>996151.78686021792</v>
      </c>
      <c r="D85" s="15">
        <f t="shared" si="24"/>
        <v>5.1218627581491837E-2</v>
      </c>
      <c r="E85" s="14">
        <f t="shared" si="25"/>
        <v>1018015.0400035192</v>
      </c>
      <c r="F85" s="14">
        <f t="shared" si="26"/>
        <v>694582</v>
      </c>
      <c r="G85" s="13">
        <f t="shared" si="27"/>
        <v>0.14656513413873656</v>
      </c>
      <c r="I85" s="17" t="s">
        <v>45</v>
      </c>
    </row>
    <row r="86" spans="2:12">
      <c r="B86" s="16" t="s">
        <v>25</v>
      </c>
      <c r="C86" s="16">
        <f t="shared" si="23"/>
        <v>1410000</v>
      </c>
      <c r="D86" s="15">
        <f t="shared" si="24"/>
        <v>7.2497249759024232E-2</v>
      </c>
      <c r="E86" s="14">
        <f t="shared" si="25"/>
        <v>1440946.2747933418</v>
      </c>
      <c r="F86" s="14">
        <f t="shared" si="26"/>
        <v>304283</v>
      </c>
      <c r="G86" s="13">
        <f t="shared" si="27"/>
        <v>0.47355464314251594</v>
      </c>
    </row>
    <row r="87" spans="2:12">
      <c r="B87" s="16" t="s">
        <v>46</v>
      </c>
      <c r="C87" s="16">
        <f t="shared" si="23"/>
        <v>58927.81333557691</v>
      </c>
      <c r="D87" s="15">
        <f t="shared" si="24"/>
        <v>3.0298612774060127E-3</v>
      </c>
      <c r="E87" s="14">
        <f t="shared" si="25"/>
        <v>60221.144047955284</v>
      </c>
      <c r="F87" s="14">
        <f t="shared" si="26"/>
        <v>28085.172128470276</v>
      </c>
      <c r="G87" s="13">
        <f t="shared" si="27"/>
        <v>0.21442326852221205</v>
      </c>
    </row>
    <row r="88" spans="2:12">
      <c r="B88" s="16" t="s">
        <v>28</v>
      </c>
      <c r="C88" s="16">
        <f t="shared" si="23"/>
        <v>62356.996010055722</v>
      </c>
      <c r="D88" s="15">
        <f t="shared" si="24"/>
        <v>3.206177811321622E-3</v>
      </c>
      <c r="E88" s="14">
        <f t="shared" si="25"/>
        <v>63725.589438292955</v>
      </c>
      <c r="F88" s="14">
        <f t="shared" si="26"/>
        <v>77000</v>
      </c>
      <c r="G88" s="13">
        <f t="shared" si="27"/>
        <v>8.2760505764016834E-2</v>
      </c>
    </row>
    <row r="89" spans="2:12">
      <c r="B89" s="16" t="s">
        <v>29</v>
      </c>
      <c r="C89" s="16">
        <f t="shared" si="23"/>
        <v>834509.9534211111</v>
      </c>
      <c r="D89" s="15">
        <f t="shared" si="24"/>
        <v>4.2907571999689344E-2</v>
      </c>
      <c r="E89" s="14">
        <f t="shared" si="25"/>
        <v>852825.53805681935</v>
      </c>
      <c r="F89" s="14">
        <f t="shared" si="26"/>
        <v>700774</v>
      </c>
      <c r="G89" s="13">
        <f t="shared" si="27"/>
        <v>0.12169765688464745</v>
      </c>
    </row>
    <row r="90" spans="2:12">
      <c r="B90" s="12" t="s">
        <v>30</v>
      </c>
      <c r="C90" s="11">
        <f t="shared" si="23"/>
        <v>19449013.647921003</v>
      </c>
      <c r="D90" s="10">
        <f t="shared" si="24"/>
        <v>1.8475670658027634</v>
      </c>
      <c r="E90" s="9">
        <f>$D$9</f>
        <v>19875875.010196194</v>
      </c>
      <c r="F90" s="9">
        <f>SUM(F79:F89)</f>
        <v>10526824.172128471</v>
      </c>
      <c r="G90" s="8">
        <f>E90/F90/10</f>
        <v>0.18881169368080547</v>
      </c>
    </row>
    <row r="92" spans="2:12">
      <c r="C92" s="204" t="s">
        <v>56</v>
      </c>
      <c r="D92" s="204"/>
      <c r="E92" s="204"/>
      <c r="F92" s="204"/>
      <c r="G92" s="204"/>
      <c r="H92" s="204"/>
      <c r="I92" s="204"/>
      <c r="J92" s="204"/>
      <c r="L92" s="25"/>
    </row>
    <row r="93" spans="2:12" ht="45">
      <c r="B93" s="21"/>
      <c r="C93" s="20" t="str">
        <f t="shared" ref="C93:C104" si="28">C48</f>
        <v>2027 Forecast MWh (with losses)</v>
      </c>
      <c r="D93" s="19" t="s">
        <v>33</v>
      </c>
      <c r="E93" s="20" t="s">
        <v>15</v>
      </c>
      <c r="F93" s="19" t="s">
        <v>41</v>
      </c>
      <c r="G93" s="19" t="s">
        <v>57</v>
      </c>
      <c r="H93" s="6" t="s">
        <v>34</v>
      </c>
      <c r="I93" s="6" t="s">
        <v>17</v>
      </c>
      <c r="J93" s="6" t="s">
        <v>35</v>
      </c>
    </row>
    <row r="94" spans="2:12">
      <c r="B94" s="16" t="s">
        <v>18</v>
      </c>
      <c r="C94" s="16">
        <f t="shared" si="28"/>
        <v>5601352</v>
      </c>
      <c r="D94" s="15">
        <f t="shared" ref="D94:D105" si="29">C94/C$105</f>
        <v>0.28800185456185101</v>
      </c>
      <c r="E94" s="16">
        <f t="shared" ref="E94:E105" si="30">E49</f>
        <v>4351189</v>
      </c>
      <c r="F94" s="23">
        <f t="shared" ref="F94:F104" si="31">E94/E$105</f>
        <v>0.65059281200068986</v>
      </c>
      <c r="G94" s="15">
        <f t="shared" ref="G94:G105" si="32">($L$102*D94+$M$102*F94)*$M$105+F94*$L$105</f>
        <v>0.61368563038432744</v>
      </c>
      <c r="H94" s="14">
        <f t="shared" ref="H94:H104" si="33">$H$60*G94</f>
        <v>12197538.885072352</v>
      </c>
      <c r="I94" s="14">
        <f t="shared" ref="I94:I104" si="34">I16</f>
        <v>5174286</v>
      </c>
      <c r="J94" s="13">
        <f t="shared" ref="J94:J104" si="35">H94/(I94*1000)*100</f>
        <v>0.23573375892002013</v>
      </c>
      <c r="L94" s="18" t="s">
        <v>36</v>
      </c>
    </row>
    <row r="95" spans="2:12">
      <c r="B95" s="16" t="s">
        <v>19</v>
      </c>
      <c r="C95" s="16">
        <f t="shared" si="28"/>
        <v>385414</v>
      </c>
      <c r="D95" s="15">
        <f t="shared" si="29"/>
        <v>1.9816634764981963E-2</v>
      </c>
      <c r="E95" s="16">
        <f t="shared" si="30"/>
        <v>230332</v>
      </c>
      <c r="F95" s="23">
        <f t="shared" si="31"/>
        <v>3.4439401178331462E-2</v>
      </c>
      <c r="G95" s="15">
        <f t="shared" si="32"/>
        <v>3.2950988175527426E-2</v>
      </c>
      <c r="H95" s="14">
        <f t="shared" si="33"/>
        <v>654929.72243923589</v>
      </c>
      <c r="I95" s="14">
        <f t="shared" si="34"/>
        <v>356341</v>
      </c>
      <c r="J95" s="13">
        <f t="shared" si="35"/>
        <v>0.18379297426881439</v>
      </c>
      <c r="L95" s="17" t="s">
        <v>58</v>
      </c>
    </row>
    <row r="96" spans="2:12">
      <c r="B96" s="16" t="s">
        <v>20</v>
      </c>
      <c r="C96" s="16">
        <f t="shared" si="28"/>
        <v>2335072</v>
      </c>
      <c r="D96" s="15">
        <f t="shared" si="29"/>
        <v>0.12006120424773351</v>
      </c>
      <c r="E96" s="16">
        <f t="shared" si="30"/>
        <v>1195401</v>
      </c>
      <c r="F96" s="23">
        <f t="shared" si="31"/>
        <v>0.17873719069855082</v>
      </c>
      <c r="G96" s="15">
        <f t="shared" si="32"/>
        <v>0.17276471608485389</v>
      </c>
      <c r="H96" s="14">
        <f t="shared" si="33"/>
        <v>3433849.9030745877</v>
      </c>
      <c r="I96" s="14">
        <f t="shared" si="34"/>
        <v>2165416</v>
      </c>
      <c r="J96" s="13">
        <f t="shared" si="35"/>
        <v>0.15857691561688783</v>
      </c>
    </row>
    <row r="97" spans="2:14">
      <c r="B97" s="16" t="s">
        <v>21</v>
      </c>
      <c r="C97" s="16">
        <f t="shared" si="28"/>
        <v>374976</v>
      </c>
      <c r="D97" s="15">
        <f t="shared" si="29"/>
        <v>1.9279949450808419E-2</v>
      </c>
      <c r="E97" s="16">
        <f t="shared" si="30"/>
        <v>136936</v>
      </c>
      <c r="F97" s="23">
        <f t="shared" si="31"/>
        <v>2.0474766162565328E-2</v>
      </c>
      <c r="G97" s="15">
        <f t="shared" si="32"/>
        <v>2.0353148906331036E-2</v>
      </c>
      <c r="H97" s="14">
        <f t="shared" si="33"/>
        <v>404536.64372614701</v>
      </c>
      <c r="I97" s="14">
        <f t="shared" si="34"/>
        <v>357053</v>
      </c>
      <c r="J97" s="13">
        <f t="shared" si="35"/>
        <v>0.11329876621290033</v>
      </c>
      <c r="L97" s="18" t="s">
        <v>38</v>
      </c>
    </row>
    <row r="98" spans="2:14">
      <c r="B98" s="16" t="s">
        <v>22</v>
      </c>
      <c r="C98" s="16">
        <f t="shared" si="28"/>
        <v>273902</v>
      </c>
      <c r="D98" s="15">
        <f t="shared" si="29"/>
        <v>1.408307922233777E-2</v>
      </c>
      <c r="E98" s="16">
        <f t="shared" si="30"/>
        <v>125244</v>
      </c>
      <c r="F98" s="23">
        <f t="shared" si="31"/>
        <v>1.8726570173397294E-2</v>
      </c>
      <c r="G98" s="15">
        <f t="shared" si="32"/>
        <v>1.8253921420446535E-2</v>
      </c>
      <c r="H98" s="14">
        <f t="shared" si="33"/>
        <v>362812.66059873829</v>
      </c>
      <c r="I98" s="14">
        <f t="shared" si="34"/>
        <v>254468</v>
      </c>
      <c r="J98" s="13">
        <f t="shared" si="35"/>
        <v>0.14257692935800897</v>
      </c>
      <c r="L98" s="17" t="s">
        <v>59</v>
      </c>
    </row>
    <row r="99" spans="2:14">
      <c r="B99" s="16" t="s">
        <v>23</v>
      </c>
      <c r="C99" s="16">
        <f t="shared" si="28"/>
        <v>442241</v>
      </c>
      <c r="D99" s="15">
        <f t="shared" si="29"/>
        <v>2.2738479596227403E-2</v>
      </c>
      <c r="E99" s="16">
        <f t="shared" si="30"/>
        <v>144442</v>
      </c>
      <c r="F99" s="23">
        <f t="shared" si="31"/>
        <v>2.1597068514147201E-2</v>
      </c>
      <c r="G99" s="15">
        <f t="shared" si="32"/>
        <v>2.1713249751547113E-2</v>
      </c>
      <c r="H99" s="14">
        <f t="shared" si="33"/>
        <v>431569.83812692401</v>
      </c>
      <c r="I99" s="14">
        <f t="shared" si="34"/>
        <v>414536</v>
      </c>
      <c r="J99" s="13">
        <f t="shared" si="35"/>
        <v>0.10410913361612116</v>
      </c>
      <c r="L99" s="17" t="s">
        <v>45</v>
      </c>
    </row>
    <row r="100" spans="2:14">
      <c r="B100" s="16" t="s">
        <v>24</v>
      </c>
      <c r="C100" s="16">
        <f t="shared" si="28"/>
        <v>719039</v>
      </c>
      <c r="D100" s="15">
        <f t="shared" si="29"/>
        <v>3.697046097126172E-2</v>
      </c>
      <c r="E100" s="16">
        <f t="shared" si="30"/>
        <v>245492</v>
      </c>
      <c r="F100" s="23">
        <f t="shared" si="31"/>
        <v>3.6706134944649235E-2</v>
      </c>
      <c r="G100" s="15">
        <f t="shared" si="32"/>
        <v>3.6733039996940192E-2</v>
      </c>
      <c r="H100" s="14">
        <f t="shared" si="33"/>
        <v>730101.31172372086</v>
      </c>
      <c r="I100" s="14">
        <f t="shared" si="34"/>
        <v>694582</v>
      </c>
      <c r="J100" s="13">
        <f t="shared" si="35"/>
        <v>0.10511376795305967</v>
      </c>
    </row>
    <row r="101" spans="2:14">
      <c r="B101" s="16" t="s">
        <v>25</v>
      </c>
      <c r="C101" s="16">
        <f t="shared" si="28"/>
        <v>311353</v>
      </c>
      <c r="D101" s="15">
        <f t="shared" si="29"/>
        <v>1.6008678159022321E-2</v>
      </c>
      <c r="E101" s="16">
        <f t="shared" si="30"/>
        <v>203269</v>
      </c>
      <c r="F101" s="23">
        <f t="shared" si="31"/>
        <v>3.0392922555781472E-2</v>
      </c>
      <c r="G101" s="15">
        <f t="shared" si="32"/>
        <v>2.8928788082833726E-2</v>
      </c>
      <c r="H101" s="14">
        <f t="shared" si="33"/>
        <v>574984.97613085632</v>
      </c>
      <c r="I101" s="14">
        <f t="shared" si="34"/>
        <v>304283</v>
      </c>
      <c r="J101" s="13">
        <f t="shared" si="35"/>
        <v>0.18896388432178476</v>
      </c>
      <c r="L101" s="200" t="s">
        <v>47</v>
      </c>
      <c r="M101" s="200" t="s">
        <v>48</v>
      </c>
    </row>
    <row r="102" spans="2:14">
      <c r="B102" s="16" t="s">
        <v>46</v>
      </c>
      <c r="C102" s="16">
        <f t="shared" si="28"/>
        <v>28991.491925129332</v>
      </c>
      <c r="D102" s="15">
        <f t="shared" si="29"/>
        <v>1.4906407311935004E-3</v>
      </c>
      <c r="E102" s="16">
        <f t="shared" si="30"/>
        <v>20968.659572037046</v>
      </c>
      <c r="F102" s="23">
        <f t="shared" si="31"/>
        <v>3.1352485940869873E-3</v>
      </c>
      <c r="G102" s="15">
        <f t="shared" si="32"/>
        <v>2.9678482774540332E-3</v>
      </c>
      <c r="H102" s="14">
        <f t="shared" si="33"/>
        <v>58988.581411902436</v>
      </c>
      <c r="I102" s="14">
        <f t="shared" si="34"/>
        <v>28085.172128470276</v>
      </c>
      <c r="J102" s="13">
        <f t="shared" si="35"/>
        <v>0.21003460880378585</v>
      </c>
      <c r="L102" s="202">
        <f>L59</f>
        <v>0.5180863</v>
      </c>
      <c r="M102" s="202">
        <f>M59</f>
        <v>0.4819137</v>
      </c>
    </row>
    <row r="103" spans="2:14">
      <c r="B103" s="16" t="s">
        <v>28</v>
      </c>
      <c r="C103" s="16">
        <f t="shared" si="28"/>
        <v>83268</v>
      </c>
      <c r="D103" s="15">
        <f t="shared" si="29"/>
        <v>4.2813482219393123E-3</v>
      </c>
      <c r="E103" s="16">
        <f t="shared" si="30"/>
        <v>32357</v>
      </c>
      <c r="F103" s="23">
        <f t="shared" si="31"/>
        <v>4.8380411923973701E-3</v>
      </c>
      <c r="G103" s="15">
        <f t="shared" si="32"/>
        <v>4.78137687646855E-3</v>
      </c>
      <c r="H103" s="14">
        <f t="shared" si="33"/>
        <v>95034.049173331194</v>
      </c>
      <c r="I103" s="14">
        <f t="shared" si="34"/>
        <v>77000</v>
      </c>
      <c r="J103" s="13">
        <f t="shared" si="35"/>
        <v>0.12342084308224831</v>
      </c>
    </row>
    <row r="104" spans="2:14">
      <c r="B104" s="16" t="s">
        <v>29</v>
      </c>
      <c r="C104" s="16">
        <f t="shared" si="28"/>
        <v>718273</v>
      </c>
      <c r="D104" s="15">
        <f t="shared" si="29"/>
        <v>3.6931075940541569E-2</v>
      </c>
      <c r="E104" s="16">
        <f t="shared" si="30"/>
        <v>2406.65</v>
      </c>
      <c r="F104" s="23">
        <f t="shared" si="31"/>
        <v>3.5984398540294624E-4</v>
      </c>
      <c r="G104" s="15">
        <f t="shared" si="32"/>
        <v>4.0823336725046653E-3</v>
      </c>
      <c r="H104" s="14">
        <f t="shared" si="33"/>
        <v>81139.953824617929</v>
      </c>
      <c r="I104" s="14">
        <f t="shared" si="34"/>
        <v>700774</v>
      </c>
      <c r="J104" s="13">
        <f t="shared" si="35"/>
        <v>1.1578619330143232E-2</v>
      </c>
      <c r="L104" s="200" t="s">
        <v>60</v>
      </c>
      <c r="M104" s="200" t="s">
        <v>61</v>
      </c>
    </row>
    <row r="105" spans="2:14">
      <c r="B105" s="12" t="s">
        <v>30</v>
      </c>
      <c r="C105" s="11">
        <f>C90</f>
        <v>19449013.647921003</v>
      </c>
      <c r="D105" s="10">
        <f t="shared" si="29"/>
        <v>1</v>
      </c>
      <c r="E105" s="11">
        <f t="shared" si="30"/>
        <v>6688037.3095720373</v>
      </c>
      <c r="F105" s="10">
        <f>E105/E$60</f>
        <v>1</v>
      </c>
      <c r="G105" s="10">
        <f t="shared" si="32"/>
        <v>1</v>
      </c>
      <c r="H105" s="9">
        <f>$D$9</f>
        <v>19875875.010196194</v>
      </c>
      <c r="I105" s="9">
        <f>SUM(I94:I104)</f>
        <v>10526824.172128471</v>
      </c>
      <c r="J105" s="8">
        <f>H105/I105/10</f>
        <v>0.18881169368080547</v>
      </c>
      <c r="L105" s="201">
        <f>3.64/(3.64+0.89)</f>
        <v>0.80353200883002207</v>
      </c>
      <c r="M105" s="201">
        <f>0.89/(3.64+0.89)</f>
        <v>0.19646799116997793</v>
      </c>
      <c r="N105" s="1" t="s">
        <v>62</v>
      </c>
    </row>
    <row r="107" spans="2:14">
      <c r="C107" s="205" t="s">
        <v>63</v>
      </c>
      <c r="D107" s="205"/>
      <c r="E107" s="205"/>
      <c r="F107" s="205"/>
    </row>
    <row r="108" spans="2:14" ht="45">
      <c r="B108" s="21"/>
      <c r="C108" s="20" t="str">
        <f t="shared" ref="C108:C119" si="36">I15</f>
        <v>2027 Forecast Billed MWh</v>
      </c>
      <c r="D108" s="19" t="str">
        <f t="shared" ref="D108:D119" si="37">J15</f>
        <v>%</v>
      </c>
      <c r="E108" s="6" t="s">
        <v>34</v>
      </c>
      <c r="F108" s="6" t="s">
        <v>35</v>
      </c>
    </row>
    <row r="109" spans="2:14">
      <c r="B109" s="16" t="s">
        <v>18</v>
      </c>
      <c r="C109" s="16">
        <f t="shared" si="36"/>
        <v>5174286</v>
      </c>
      <c r="D109" s="15">
        <f t="shared" si="37"/>
        <v>0.49153343072830918</v>
      </c>
      <c r="E109" s="14">
        <f t="shared" ref="E109:E119" si="38">$E$120*D109</f>
        <v>9769657.0324888024</v>
      </c>
      <c r="F109" s="13">
        <f t="shared" ref="F109:F120" si="39">E109/C109/10</f>
        <v>0.18881169368080547</v>
      </c>
      <c r="I109" s="18" t="s">
        <v>36</v>
      </c>
    </row>
    <row r="110" spans="2:14">
      <c r="B110" s="16" t="s">
        <v>19</v>
      </c>
      <c r="C110" s="16">
        <f t="shared" si="36"/>
        <v>356341</v>
      </c>
      <c r="D110" s="15">
        <f t="shared" si="37"/>
        <v>3.3850760131766279E-2</v>
      </c>
      <c r="E110" s="14">
        <f t="shared" si="38"/>
        <v>672813.47737911902</v>
      </c>
      <c r="F110" s="13">
        <f t="shared" si="39"/>
        <v>0.18881169368080547</v>
      </c>
      <c r="I110" s="17" t="s">
        <v>64</v>
      </c>
    </row>
    <row r="111" spans="2:14">
      <c r="B111" s="16" t="s">
        <v>20</v>
      </c>
      <c r="C111" s="16">
        <f t="shared" si="36"/>
        <v>2165416</v>
      </c>
      <c r="D111" s="15">
        <f t="shared" si="37"/>
        <v>0.20570458521890214</v>
      </c>
      <c r="E111" s="14">
        <f t="shared" si="38"/>
        <v>4088558.6248351503</v>
      </c>
      <c r="F111" s="13">
        <f t="shared" si="39"/>
        <v>0.18881169368080547</v>
      </c>
      <c r="I111" s="17" t="s">
        <v>65</v>
      </c>
    </row>
    <row r="112" spans="2:14">
      <c r="B112" s="16" t="s">
        <v>21</v>
      </c>
      <c r="C112" s="16">
        <f t="shared" si="36"/>
        <v>357053</v>
      </c>
      <c r="D112" s="15">
        <f t="shared" si="37"/>
        <v>3.3918396865158781E-2</v>
      </c>
      <c r="E112" s="14">
        <f t="shared" si="38"/>
        <v>674157.81663812639</v>
      </c>
      <c r="F112" s="13">
        <f t="shared" si="39"/>
        <v>0.18881169368080547</v>
      </c>
    </row>
    <row r="113" spans="2:9">
      <c r="B113" s="16" t="s">
        <v>22</v>
      </c>
      <c r="C113" s="16">
        <f t="shared" si="36"/>
        <v>254468</v>
      </c>
      <c r="D113" s="15">
        <f t="shared" si="37"/>
        <v>2.4173292518150594E-2</v>
      </c>
      <c r="E113" s="14">
        <f t="shared" si="38"/>
        <v>480465.34067567205</v>
      </c>
      <c r="F113" s="13">
        <f t="shared" si="39"/>
        <v>0.18881169368080547</v>
      </c>
      <c r="I113" s="18" t="s">
        <v>38</v>
      </c>
    </row>
    <row r="114" spans="2:9">
      <c r="B114" s="16" t="s">
        <v>23</v>
      </c>
      <c r="C114" s="16">
        <f t="shared" si="36"/>
        <v>414536</v>
      </c>
      <c r="D114" s="15">
        <f t="shared" si="37"/>
        <v>3.9379018137070579E-2</v>
      </c>
      <c r="E114" s="14">
        <f t="shared" si="38"/>
        <v>782692.44251666381</v>
      </c>
      <c r="F114" s="13">
        <f t="shared" si="39"/>
        <v>0.18881169368080547</v>
      </c>
      <c r="I114" s="17" t="s">
        <v>66</v>
      </c>
    </row>
    <row r="115" spans="2:9">
      <c r="B115" s="16" t="s">
        <v>24</v>
      </c>
      <c r="C115" s="16">
        <f t="shared" si="36"/>
        <v>694582</v>
      </c>
      <c r="D115" s="15">
        <f t="shared" si="37"/>
        <v>6.5982103305099571E-2</v>
      </c>
      <c r="E115" s="14">
        <f t="shared" si="38"/>
        <v>1311452.0382020122</v>
      </c>
      <c r="F115" s="13">
        <f t="shared" si="39"/>
        <v>0.18881169368080547</v>
      </c>
    </row>
    <row r="116" spans="2:9">
      <c r="B116" s="16" t="s">
        <v>25</v>
      </c>
      <c r="C116" s="16">
        <f t="shared" si="36"/>
        <v>304283</v>
      </c>
      <c r="D116" s="15">
        <f t="shared" si="37"/>
        <v>2.890548897032404E-2</v>
      </c>
      <c r="E116" s="14">
        <f t="shared" si="38"/>
        <v>574521.88588276529</v>
      </c>
      <c r="F116" s="13">
        <f t="shared" si="39"/>
        <v>0.18881169368080547</v>
      </c>
    </row>
    <row r="117" spans="2:9">
      <c r="B117" s="16" t="s">
        <v>46</v>
      </c>
      <c r="C117" s="16">
        <f t="shared" si="36"/>
        <v>28085.172128470276</v>
      </c>
      <c r="D117" s="15">
        <f t="shared" si="37"/>
        <v>2.6679624993481386E-3</v>
      </c>
      <c r="E117" s="14">
        <f t="shared" si="38"/>
        <v>53028.089168934246</v>
      </c>
      <c r="F117" s="13">
        <f t="shared" si="39"/>
        <v>0.18881169368080547</v>
      </c>
    </row>
    <row r="118" spans="2:9">
      <c r="B118" s="16" t="s">
        <v>28</v>
      </c>
      <c r="C118" s="16">
        <f t="shared" si="36"/>
        <v>77000</v>
      </c>
      <c r="D118" s="15">
        <f t="shared" si="37"/>
        <v>7.314646729245311E-3</v>
      </c>
      <c r="E118" s="14">
        <f t="shared" si="38"/>
        <v>145385.00413422022</v>
      </c>
      <c r="F118" s="13">
        <f t="shared" si="39"/>
        <v>0.18881169368080547</v>
      </c>
    </row>
    <row r="119" spans="2:9">
      <c r="B119" s="16" t="s">
        <v>29</v>
      </c>
      <c r="C119" s="16">
        <f t="shared" si="36"/>
        <v>700774</v>
      </c>
      <c r="D119" s="15">
        <f t="shared" si="37"/>
        <v>6.6570314896625377E-2</v>
      </c>
      <c r="E119" s="14">
        <f t="shared" si="38"/>
        <v>1323143.2582747277</v>
      </c>
      <c r="F119" s="13">
        <f t="shared" si="39"/>
        <v>0.18881169368080547</v>
      </c>
    </row>
    <row r="120" spans="2:9">
      <c r="B120" s="12" t="s">
        <v>30</v>
      </c>
      <c r="C120" s="11">
        <f>SUM(C109:C119)</f>
        <v>10526824.172128471</v>
      </c>
      <c r="D120" s="10">
        <f>SUM(D109:D119)</f>
        <v>0.99999999999999989</v>
      </c>
      <c r="E120" s="9">
        <f>$D$9</f>
        <v>19875875.010196194</v>
      </c>
      <c r="F120" s="8">
        <f t="shared" si="39"/>
        <v>0.18881169368080547</v>
      </c>
    </row>
    <row r="122" spans="2:9">
      <c r="C122" s="203" t="s">
        <v>67</v>
      </c>
      <c r="D122" s="203"/>
      <c r="E122" s="203"/>
      <c r="F122" s="203"/>
      <c r="G122" s="203"/>
      <c r="H122" s="203"/>
    </row>
    <row r="123" spans="2:9" ht="45">
      <c r="B123" s="7"/>
      <c r="C123" s="6" t="str">
        <f>C32</f>
        <v>Option 1: Energy Allocator</v>
      </c>
      <c r="D123" s="6" t="str">
        <f>C47</f>
        <v>Option 2: System Load Factor</v>
      </c>
      <c r="E123" s="6" t="str">
        <f>C62</f>
        <v>Option 3: Demand Allocator</v>
      </c>
      <c r="F123" s="6" t="str">
        <f>C77</f>
        <v>Option 4: 12CP (OATT)</v>
      </c>
      <c r="G123" s="6" t="s">
        <v>68</v>
      </c>
      <c r="H123" s="6" t="str">
        <f>C107</f>
        <v>Option 6: Billed MWh</v>
      </c>
    </row>
    <row r="124" spans="2:9">
      <c r="B124" s="5" t="s">
        <v>18</v>
      </c>
      <c r="C124" s="4">
        <f t="shared" ref="C124:C135" si="40">G34</f>
        <v>0.19085134599647893</v>
      </c>
      <c r="D124" s="4">
        <f t="shared" ref="D124:D135" si="41">J49</f>
        <v>0.2193129234766921</v>
      </c>
      <c r="E124" s="4">
        <f t="shared" ref="E124:E135" si="42">G64</f>
        <v>0.24991083627495239</v>
      </c>
      <c r="F124" s="4">
        <f t="shared" ref="F124:F135" si="43">G79</f>
        <v>0.20500151759545532</v>
      </c>
      <c r="G124" s="4">
        <f t="shared" ref="G124:G135" si="44">J94</f>
        <v>0.23573375892002013</v>
      </c>
      <c r="H124" s="4">
        <f t="shared" ref="H124:H135" si="45">F109</f>
        <v>0.18881169368080547</v>
      </c>
    </row>
    <row r="125" spans="2:9">
      <c r="B125" s="5" t="s">
        <v>19</v>
      </c>
      <c r="C125" s="4">
        <f t="shared" si="40"/>
        <v>0.19068410091693691</v>
      </c>
      <c r="D125" s="4">
        <f t="shared" si="41"/>
        <v>0.19136403106684935</v>
      </c>
      <c r="E125" s="4">
        <f t="shared" si="42"/>
        <v>0.19209499699628158</v>
      </c>
      <c r="F125" s="4">
        <f t="shared" si="43"/>
        <v>0.18525567079546151</v>
      </c>
      <c r="G125" s="4">
        <f t="shared" si="44"/>
        <v>0.18379297426881439</v>
      </c>
      <c r="H125" s="4">
        <f t="shared" si="45"/>
        <v>0.18881169368080547</v>
      </c>
    </row>
    <row r="126" spans="2:9">
      <c r="B126" s="5" t="s">
        <v>20</v>
      </c>
      <c r="C126" s="4">
        <f t="shared" si="40"/>
        <v>0.19011296121616825</v>
      </c>
      <c r="D126" s="4">
        <f t="shared" si="41"/>
        <v>0.1775571608988461</v>
      </c>
      <c r="E126" s="4">
        <f t="shared" si="42"/>
        <v>0.16405891810155637</v>
      </c>
      <c r="F126" s="4">
        <f t="shared" si="43"/>
        <v>0.16980778272037503</v>
      </c>
      <c r="G126" s="4">
        <f t="shared" si="44"/>
        <v>0.15857691561688783</v>
      </c>
      <c r="H126" s="4">
        <f t="shared" si="45"/>
        <v>0.18881169368080547</v>
      </c>
    </row>
    <row r="127" spans="2:9">
      <c r="B127" s="5" t="s">
        <v>21</v>
      </c>
      <c r="C127" s="4">
        <f t="shared" si="40"/>
        <v>0.18514994069093008</v>
      </c>
      <c r="D127" s="4">
        <f t="shared" si="41"/>
        <v>0.15085013100124928</v>
      </c>
      <c r="E127" s="4">
        <f t="shared" si="42"/>
        <v>0.1139757663736596</v>
      </c>
      <c r="F127" s="4">
        <f t="shared" si="43"/>
        <v>0.15790076877556633</v>
      </c>
      <c r="G127" s="4">
        <f t="shared" si="44"/>
        <v>0.11329876621290033</v>
      </c>
      <c r="H127" s="4">
        <f t="shared" si="45"/>
        <v>0.18881169368080547</v>
      </c>
    </row>
    <row r="128" spans="2:9">
      <c r="B128" s="5" t="s">
        <v>22</v>
      </c>
      <c r="C128" s="4">
        <f t="shared" si="40"/>
        <v>0.1897644336563287</v>
      </c>
      <c r="D128" s="4">
        <f t="shared" si="41"/>
        <v>0.16880323095533145</v>
      </c>
      <c r="E128" s="4">
        <f t="shared" si="42"/>
        <v>0.14626867352127287</v>
      </c>
      <c r="F128" s="4">
        <f t="shared" si="43"/>
        <v>0.15686496623149487</v>
      </c>
      <c r="G128" s="4">
        <f t="shared" si="44"/>
        <v>0.14257692935800897</v>
      </c>
      <c r="H128" s="4">
        <f t="shared" si="45"/>
        <v>0.18881169368080547</v>
      </c>
    </row>
    <row r="129" spans="2:8">
      <c r="B129" s="5" t="s">
        <v>23</v>
      </c>
      <c r="C129" s="4">
        <f t="shared" si="40"/>
        <v>0.18808299970053197</v>
      </c>
      <c r="D129" s="4">
        <f t="shared" si="41"/>
        <v>0.14734638956609572</v>
      </c>
      <c r="E129" s="4">
        <f t="shared" si="42"/>
        <v>0.10355207614630174</v>
      </c>
      <c r="F129" s="4">
        <f t="shared" si="43"/>
        <v>0.12848804899439673</v>
      </c>
      <c r="G129" s="4">
        <f t="shared" si="44"/>
        <v>0.10410913361612116</v>
      </c>
      <c r="H129" s="4">
        <f t="shared" si="45"/>
        <v>0.18881169368080547</v>
      </c>
    </row>
    <row r="130" spans="2:8">
      <c r="B130" s="5" t="s">
        <v>24</v>
      </c>
      <c r="C130" s="4">
        <f t="shared" si="40"/>
        <v>0.18250791934012769</v>
      </c>
      <c r="D130" s="4">
        <f t="shared" si="41"/>
        <v>0.14517351475855039</v>
      </c>
      <c r="E130" s="4">
        <f t="shared" si="42"/>
        <v>0.10503677755358516</v>
      </c>
      <c r="F130" s="4">
        <f t="shared" si="43"/>
        <v>0.14656513413873656</v>
      </c>
      <c r="G130" s="4">
        <f t="shared" si="44"/>
        <v>0.10511376795305967</v>
      </c>
      <c r="H130" s="4">
        <f t="shared" si="45"/>
        <v>0.18881169368080547</v>
      </c>
    </row>
    <row r="131" spans="2:8">
      <c r="B131" s="5" t="s">
        <v>25</v>
      </c>
      <c r="C131" s="4">
        <f t="shared" si="40"/>
        <v>0.18039652064670639</v>
      </c>
      <c r="D131" s="4">
        <f t="shared" si="41"/>
        <v>0.18913416671873118</v>
      </c>
      <c r="E131" s="4">
        <f t="shared" si="42"/>
        <v>0.19852766336380445</v>
      </c>
      <c r="F131" s="4">
        <f t="shared" si="43"/>
        <v>0.47355464314251594</v>
      </c>
      <c r="G131" s="4">
        <f t="shared" si="44"/>
        <v>0.18896388432178476</v>
      </c>
      <c r="H131" s="4">
        <f t="shared" si="45"/>
        <v>0.18881169368080547</v>
      </c>
    </row>
    <row r="132" spans="2:8">
      <c r="B132" s="5" t="s">
        <v>46</v>
      </c>
      <c r="C132" s="4">
        <f t="shared" si="40"/>
        <v>0.1819894727727128</v>
      </c>
      <c r="D132" s="4">
        <f t="shared" si="41"/>
        <v>0.20121400091704394</v>
      </c>
      <c r="E132" s="4">
        <f t="shared" si="42"/>
        <v>0.22188152843398817</v>
      </c>
      <c r="F132" s="4">
        <f t="shared" si="43"/>
        <v>0.21442326852221205</v>
      </c>
      <c r="G132" s="4">
        <f t="shared" si="44"/>
        <v>0.21003460880378585</v>
      </c>
      <c r="H132" s="4">
        <f t="shared" si="45"/>
        <v>0.18881169368080547</v>
      </c>
    </row>
    <row r="133" spans="2:8">
      <c r="B133" s="5" t="s">
        <v>28</v>
      </c>
      <c r="C133" s="4">
        <f t="shared" si="40"/>
        <v>0.19065148837222035</v>
      </c>
      <c r="D133" s="4">
        <f t="shared" si="41"/>
        <v>0.15895699815668904</v>
      </c>
      <c r="E133" s="4">
        <f t="shared" si="42"/>
        <v>0.12488350913541647</v>
      </c>
      <c r="F133" s="4">
        <f t="shared" si="43"/>
        <v>8.2760505764016834E-2</v>
      </c>
      <c r="G133" s="4">
        <f t="shared" si="44"/>
        <v>0.12342084308224831</v>
      </c>
      <c r="H133" s="4">
        <f t="shared" si="45"/>
        <v>0.18881169368080547</v>
      </c>
    </row>
    <row r="134" spans="2:8">
      <c r="B134" s="5" t="s">
        <v>29</v>
      </c>
      <c r="C134" s="4">
        <f t="shared" si="40"/>
        <v>0.18070257983605911</v>
      </c>
      <c r="D134" s="4">
        <f t="shared" si="41"/>
        <v>9.4111379993112268E-2</v>
      </c>
      <c r="E134" s="4">
        <f t="shared" si="42"/>
        <v>1.0206163580612044E-3</v>
      </c>
      <c r="F134" s="4">
        <f t="shared" si="43"/>
        <v>0.12169765688464745</v>
      </c>
      <c r="G134" s="4">
        <f t="shared" si="44"/>
        <v>1.1578619330143232E-2</v>
      </c>
      <c r="H134" s="4">
        <f t="shared" si="45"/>
        <v>0.18881169368080547</v>
      </c>
    </row>
    <row r="135" spans="2:8">
      <c r="B135" s="3" t="s">
        <v>69</v>
      </c>
      <c r="C135" s="2">
        <f t="shared" si="40"/>
        <v>0.18881169368080547</v>
      </c>
      <c r="D135" s="2">
        <f t="shared" si="41"/>
        <v>0.18881169368080547</v>
      </c>
      <c r="E135" s="2">
        <f t="shared" si="42"/>
        <v>0.18881169368080547</v>
      </c>
      <c r="F135" s="2">
        <f t="shared" si="43"/>
        <v>0.18881169368080547</v>
      </c>
      <c r="G135" s="2">
        <f t="shared" si="44"/>
        <v>0.18881169368080547</v>
      </c>
      <c r="H135" s="2">
        <f t="shared" si="45"/>
        <v>0.18881169368080547</v>
      </c>
    </row>
  </sheetData>
  <mergeCells count="12">
    <mergeCell ref="C122:H122"/>
    <mergeCell ref="K14:L14"/>
    <mergeCell ref="C32:G32"/>
    <mergeCell ref="C47:J47"/>
    <mergeCell ref="C14:D14"/>
    <mergeCell ref="E14:F14"/>
    <mergeCell ref="G14:H14"/>
    <mergeCell ref="I14:J14"/>
    <mergeCell ref="C107:F107"/>
    <mergeCell ref="C77:G77"/>
    <mergeCell ref="C62:G62"/>
    <mergeCell ref="C92:J92"/>
  </mergeCells>
  <pageMargins left="0.25" right="0.25" top="0.75" bottom="0.75" header="0.3" footer="0.3"/>
  <pageSetup paperSize="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A97E-3AF0-45ED-A228-BDD79509544F}">
  <dimension ref="B1:N47"/>
  <sheetViews>
    <sheetView zoomScale="115" zoomScaleNormal="115" workbookViewId="0">
      <selection activeCell="L11" sqref="L11"/>
    </sheetView>
  </sheetViews>
  <sheetFormatPr defaultColWidth="8.85546875" defaultRowHeight="15"/>
  <cols>
    <col min="1" max="1" width="8.85546875" style="1"/>
    <col min="2" max="2" width="20.7109375" style="1" customWidth="1"/>
    <col min="3" max="4" width="15.140625" style="1" bestFit="1" customWidth="1"/>
    <col min="5" max="5" width="11.7109375" style="1" customWidth="1"/>
    <col min="6" max="7" width="8.85546875" style="1"/>
    <col min="8" max="8" width="21.42578125" style="1" customWidth="1"/>
    <col min="9" max="14" width="14.28515625" style="1" customWidth="1"/>
    <col min="15" max="16384" width="8.85546875" style="1"/>
  </cols>
  <sheetData>
    <row r="1" spans="2:13" ht="15.75" thickBot="1"/>
    <row r="2" spans="2:13" ht="30">
      <c r="B2" s="56"/>
      <c r="C2" s="55">
        <v>2027</v>
      </c>
      <c r="D2" s="55" t="s">
        <v>70</v>
      </c>
      <c r="E2" s="54" t="s">
        <v>71</v>
      </c>
      <c r="H2" s="214" t="s">
        <v>72</v>
      </c>
      <c r="I2" s="215"/>
      <c r="J2" s="216"/>
    </row>
    <row r="3" spans="2:13" ht="30">
      <c r="B3" s="43" t="s">
        <v>18</v>
      </c>
      <c r="C3" s="53"/>
      <c r="D3" s="53"/>
      <c r="E3" s="41"/>
      <c r="H3" s="52" t="s">
        <v>73</v>
      </c>
      <c r="I3" s="21" t="s">
        <v>74</v>
      </c>
      <c r="J3" s="51" t="s">
        <v>75</v>
      </c>
    </row>
    <row r="4" spans="2:13">
      <c r="B4" s="39" t="s">
        <v>76</v>
      </c>
      <c r="C4" s="38">
        <f>'Bill Impacts (detailed)'!L28</f>
        <v>21.038342273904735</v>
      </c>
      <c r="D4" s="38">
        <f>'Bill Impacts (detailed)'!M28</f>
        <v>21.038342273904735</v>
      </c>
      <c r="E4" s="40"/>
      <c r="F4" s="22"/>
      <c r="H4" s="50" t="str">
        <f>B3</f>
        <v>Residential</v>
      </c>
      <c r="I4" s="49">
        <f>D6</f>
        <v>1.6920137285503778</v>
      </c>
      <c r="J4" s="48">
        <f>E7</f>
        <v>8.5854032053502838E-3</v>
      </c>
    </row>
    <row r="5" spans="2:13">
      <c r="B5" s="39" t="s">
        <v>77</v>
      </c>
      <c r="C5" s="38">
        <f>'Bill Impacts (detailed)'!L29+'Bill Impacts (detailed)'!L30</f>
        <v>176.0419448226846</v>
      </c>
      <c r="D5" s="38">
        <f>'Bill Impacts (detailed)'!M29+'Bill Impacts (detailed)'!M30-'Bill Impacts (detailed)'!M22</f>
        <v>176.04194482268463</v>
      </c>
      <c r="E5" s="208">
        <f>(D5+D6)/C5-1</f>
        <v>9.6114237448048367E-3</v>
      </c>
      <c r="F5" s="22"/>
      <c r="H5" s="50" t="str">
        <f>B8</f>
        <v>Small General</v>
      </c>
      <c r="I5" s="49">
        <f>D11</f>
        <v>2.0553850473956166</v>
      </c>
      <c r="J5" s="48">
        <f>E12</f>
        <v>9.0014461440022231E-3</v>
      </c>
    </row>
    <row r="6" spans="2:13">
      <c r="B6" s="39" t="s">
        <v>78</v>
      </c>
      <c r="C6" s="38"/>
      <c r="D6" s="38">
        <f>'Bill Impacts (detailed)'!M22</f>
        <v>1.6920137285503778</v>
      </c>
      <c r="E6" s="208"/>
      <c r="F6" s="22"/>
      <c r="H6" s="50" t="str">
        <f>B13</f>
        <v>General</v>
      </c>
      <c r="I6" s="49">
        <f>D16</f>
        <v>30.633214872225956</v>
      </c>
      <c r="J6" s="48">
        <f>E17</f>
        <v>1.1217271401031681E-2</v>
      </c>
    </row>
    <row r="7" spans="2:13">
      <c r="B7" s="37" t="s">
        <v>79</v>
      </c>
      <c r="C7" s="36">
        <f>SUM(C4:C6)</f>
        <v>197.08028709658933</v>
      </c>
      <c r="D7" s="36">
        <f>SUM(D4:D6)</f>
        <v>198.77230082513972</v>
      </c>
      <c r="E7" s="35">
        <f>D7/C7-1</f>
        <v>8.5854032053502838E-3</v>
      </c>
      <c r="H7" s="50" t="str">
        <f>B18</f>
        <v>Large General</v>
      </c>
      <c r="I7" s="49">
        <f>D21</f>
        <v>2754.5142405632773</v>
      </c>
      <c r="J7" s="48">
        <f>E22</f>
        <v>1.3106547783065414E-2</v>
      </c>
    </row>
    <row r="8" spans="2:13">
      <c r="B8" s="43" t="s">
        <v>19</v>
      </c>
      <c r="C8" s="42"/>
      <c r="D8" s="42"/>
      <c r="E8" s="41"/>
      <c r="H8" s="50" t="str">
        <f>B23</f>
        <v>Small Industrial</v>
      </c>
      <c r="I8" s="49">
        <f>D26</f>
        <v>37.838094267088749</v>
      </c>
      <c r="J8" s="48">
        <f>E27</f>
        <v>1.2720110861913714E-2</v>
      </c>
    </row>
    <row r="9" spans="2:13">
      <c r="B9" s="39" t="s">
        <v>76</v>
      </c>
      <c r="C9" s="38">
        <f>'Bill Impacts (detailed)'!L78</f>
        <v>22.734667303258153</v>
      </c>
      <c r="D9" s="38">
        <f>'Bill Impacts (detailed)'!M78</f>
        <v>22.734667303258153</v>
      </c>
      <c r="E9" s="40"/>
      <c r="F9" s="22"/>
      <c r="H9" s="50" t="str">
        <f>B28</f>
        <v>Medium Industrial</v>
      </c>
      <c r="I9" s="49">
        <f>D31</f>
        <v>371.27225887552248</v>
      </c>
      <c r="J9" s="48">
        <f>E32</f>
        <v>1.3689608170721623E-2</v>
      </c>
    </row>
    <row r="10" spans="2:13">
      <c r="B10" s="39" t="s">
        <v>77</v>
      </c>
      <c r="C10" s="38">
        <f>'Bill Impacts (detailed)'!L79+'Bill Impacts (detailed)'!L80</f>
        <v>205.60475888606862</v>
      </c>
      <c r="D10" s="38">
        <f>'Bill Impacts (detailed)'!M79+'Bill Impacts (detailed)'!M80-'Bill Impacts (detailed)'!M52-'Bill Impacts (detailed)'!M71</f>
        <v>205.60475888606859</v>
      </c>
      <c r="E10" s="208">
        <f>(D10+D11)/C10-1</f>
        <v>9.9967775966436356E-3</v>
      </c>
      <c r="F10" s="22"/>
      <c r="H10" s="50" t="str">
        <f>B33</f>
        <v>Large Industrial</v>
      </c>
      <c r="I10" s="49">
        <f>D36</f>
        <v>2934.4147136829761</v>
      </c>
      <c r="J10" s="48">
        <f>E37</f>
        <v>1.4469338018366029E-2</v>
      </c>
    </row>
    <row r="11" spans="2:13">
      <c r="B11" s="39" t="s">
        <v>78</v>
      </c>
      <c r="C11" s="38"/>
      <c r="D11" s="38">
        <f>'Bill Impacts (detailed)'!M52+'Bill Impacts (detailed)'!M71</f>
        <v>2.0553850473956166</v>
      </c>
      <c r="E11" s="208"/>
      <c r="F11" s="22"/>
      <c r="H11" s="50" t="s">
        <v>25</v>
      </c>
      <c r="I11" s="49">
        <f>D41</f>
        <v>45742.967870637498</v>
      </c>
      <c r="J11" s="48">
        <f>E42</f>
        <v>1.3875358229460844E-2</v>
      </c>
    </row>
    <row r="12" spans="2:13" ht="15.75" thickBot="1">
      <c r="B12" s="37" t="s">
        <v>79</v>
      </c>
      <c r="C12" s="36">
        <f>SUM(C9:C11)</f>
        <v>228.33942618932679</v>
      </c>
      <c r="D12" s="36">
        <f>SUM(D9:D11)</f>
        <v>230.39481123672238</v>
      </c>
      <c r="E12" s="35">
        <f>D12/C12-1</f>
        <v>9.0014461440022231E-3</v>
      </c>
      <c r="H12" s="47" t="str">
        <f>B43</f>
        <v>Municipal (Lunenburg)</v>
      </c>
      <c r="I12" s="46">
        <f>D46</f>
        <v>4259.3380569926612</v>
      </c>
      <c r="J12" s="45">
        <f>E47</f>
        <v>1.0652065335840177E-2</v>
      </c>
    </row>
    <row r="13" spans="2:13">
      <c r="B13" s="43" t="s">
        <v>20</v>
      </c>
      <c r="C13" s="42"/>
      <c r="D13" s="42"/>
      <c r="E13" s="41"/>
    </row>
    <row r="14" spans="2:13">
      <c r="B14" s="39" t="s">
        <v>80</v>
      </c>
      <c r="C14" s="38">
        <f>'Bill Impacts (detailed)'!L134</f>
        <v>474.94042496163019</v>
      </c>
      <c r="D14" s="38">
        <f>'Bill Impacts (detailed)'!M134</f>
        <v>474.94042496163019</v>
      </c>
      <c r="E14" s="40"/>
      <c r="F14" s="22"/>
    </row>
    <row r="15" spans="2:13" ht="15.75" thickBot="1">
      <c r="B15" s="39" t="s">
        <v>77</v>
      </c>
      <c r="C15" s="38">
        <f>'Bill Impacts (detailed)'!L135+'Bill Impacts (detailed)'!L136</f>
        <v>2255.9567582346372</v>
      </c>
      <c r="D15" s="38">
        <f>'Bill Impacts (detailed)'!M135+'Bill Impacts (detailed)'!M136-'Bill Impacts (detailed)'!M104-'Bill Impacts (detailed)'!M123</f>
        <v>2255.9567582346367</v>
      </c>
      <c r="E15" s="208">
        <f>(D15+D16)/C15-1</f>
        <v>1.3578812962796727E-2</v>
      </c>
      <c r="F15" s="22"/>
    </row>
    <row r="16" spans="2:13" ht="15.75" thickBot="1">
      <c r="B16" s="39" t="s">
        <v>78</v>
      </c>
      <c r="C16" s="38"/>
      <c r="D16" s="38">
        <f>'Bill Impacts (detailed)'!M104+'Bill Impacts (detailed)'!M123</f>
        <v>30.633214872225956</v>
      </c>
      <c r="E16" s="208"/>
      <c r="F16" s="22"/>
      <c r="H16" s="199" t="s">
        <v>81</v>
      </c>
      <c r="I16" s="44"/>
      <c r="J16" s="211" t="s">
        <v>32</v>
      </c>
      <c r="K16" s="212"/>
      <c r="L16" s="212"/>
      <c r="M16" s="213"/>
    </row>
    <row r="17" spans="2:14">
      <c r="B17" s="37" t="s">
        <v>79</v>
      </c>
      <c r="C17" s="36">
        <f>SUM(C14:C16)</f>
        <v>2730.8971831962672</v>
      </c>
      <c r="D17" s="36">
        <f>SUM(D14:D16)</f>
        <v>2761.5303980684926</v>
      </c>
      <c r="E17" s="35">
        <f>D17/C17-1</f>
        <v>1.1217271401031681E-2</v>
      </c>
    </row>
    <row r="18" spans="2:14">
      <c r="B18" s="43" t="s">
        <v>21</v>
      </c>
      <c r="C18" s="42"/>
      <c r="D18" s="42"/>
      <c r="E18" s="41"/>
      <c r="I18" s="209" t="str">
        <f>'Fee Impact'!C122</f>
        <v>Options Summary ¢/kWh</v>
      </c>
      <c r="J18" s="210"/>
      <c r="K18" s="210"/>
      <c r="L18" s="210"/>
      <c r="M18" s="210"/>
      <c r="N18" s="210"/>
    </row>
    <row r="19" spans="2:14">
      <c r="B19" s="39" t="s">
        <v>80</v>
      </c>
      <c r="C19" s="38">
        <f>'Bill Impacts (detailed)'!L165</f>
        <v>38023.781032495477</v>
      </c>
      <c r="D19" s="38">
        <f>'Bill Impacts (detailed)'!M165</f>
        <v>38023.781032495477</v>
      </c>
      <c r="E19" s="40"/>
      <c r="F19" s="22"/>
      <c r="H19" s="204"/>
      <c r="I19" s="205" t="str">
        <f>'Fee Impact'!C123</f>
        <v>Option 1: Energy Allocator</v>
      </c>
      <c r="J19" s="205" t="str">
        <f>'Fee Impact'!D123</f>
        <v>Option 2: System Load Factor</v>
      </c>
      <c r="K19" s="205" t="str">
        <f>'Fee Impact'!E123</f>
        <v>Option 3: Demand Allocator</v>
      </c>
      <c r="L19" s="205" t="str">
        <f>'Fee Impact'!F123</f>
        <v>Option 4: 12CP (OATT)</v>
      </c>
      <c r="M19" s="205" t="str">
        <f>'Fee Impact'!G123</f>
        <v>Option 5: SLF for Gen , Demand for Tx</v>
      </c>
      <c r="N19" s="205" t="str">
        <f>'Fee Impact'!H123</f>
        <v>Option 6: Billed MWh</v>
      </c>
    </row>
    <row r="20" spans="2:14">
      <c r="B20" s="39" t="s">
        <v>77</v>
      </c>
      <c r="C20" s="38">
        <f>'Bill Impacts (detailed)'!L166+'Bill Impacts (detailed)'!L167</f>
        <v>172139.43556389079</v>
      </c>
      <c r="D20" s="38">
        <f>'Bill Impacts (detailed)'!M166+'Bill Impacts (detailed)'!M167-'Bill Impacts (detailed)'!M160</f>
        <v>172139.43556389082</v>
      </c>
      <c r="E20" s="208">
        <f>(D20+D21)/C20-1</f>
        <v>1.600164559352768E-2</v>
      </c>
      <c r="F20" s="22"/>
      <c r="H20" s="204"/>
      <c r="I20" s="205"/>
      <c r="J20" s="205"/>
      <c r="K20" s="205"/>
      <c r="L20" s="205"/>
      <c r="M20" s="205"/>
      <c r="N20" s="205"/>
    </row>
    <row r="21" spans="2:14">
      <c r="B21" s="39" t="s">
        <v>78</v>
      </c>
      <c r="C21" s="38"/>
      <c r="D21" s="38">
        <f>'Bill Impacts (detailed)'!M160</f>
        <v>2754.5142405632773</v>
      </c>
      <c r="E21" s="208"/>
      <c r="F21" s="22"/>
      <c r="H21" s="204"/>
      <c r="I21" s="205"/>
      <c r="J21" s="205"/>
      <c r="K21" s="205"/>
      <c r="L21" s="205"/>
      <c r="M21" s="205"/>
      <c r="N21" s="205"/>
    </row>
    <row r="22" spans="2:14">
      <c r="B22" s="37" t="s">
        <v>79</v>
      </c>
      <c r="C22" s="36">
        <f>SUM(C19:C21)</f>
        <v>210163.21659638628</v>
      </c>
      <c r="D22" s="36">
        <f>SUM(D19:D21)</f>
        <v>212917.73083694954</v>
      </c>
      <c r="E22" s="35">
        <f>D22/C22-1</f>
        <v>1.3106547783065414E-2</v>
      </c>
      <c r="H22" s="16" t="str">
        <f>'Fee Impact'!B124</f>
        <v>Residential</v>
      </c>
      <c r="I22" s="4">
        <f>'Fee Impact'!C124</f>
        <v>0.19085134599647893</v>
      </c>
      <c r="J22" s="4">
        <f>'Fee Impact'!D124</f>
        <v>0.2193129234766921</v>
      </c>
      <c r="K22" s="4">
        <f>'Fee Impact'!E124</f>
        <v>0.24991083627495239</v>
      </c>
      <c r="L22" s="4">
        <f>'Fee Impact'!F124</f>
        <v>0.20500151759545532</v>
      </c>
      <c r="M22" s="4">
        <f>'Fee Impact'!G124</f>
        <v>0.23573375892002013</v>
      </c>
      <c r="N22" s="4">
        <f>'Fee Impact'!H124</f>
        <v>0.18881169368080547</v>
      </c>
    </row>
    <row r="23" spans="2:14">
      <c r="B23" s="43" t="s">
        <v>22</v>
      </c>
      <c r="C23" s="42"/>
      <c r="D23" s="42"/>
      <c r="E23" s="41"/>
      <c r="H23" s="16" t="str">
        <f>'Fee Impact'!B125</f>
        <v>Small General</v>
      </c>
      <c r="I23" s="4">
        <f>'Fee Impact'!C125</f>
        <v>0.19068410091693691</v>
      </c>
      <c r="J23" s="4">
        <f>'Fee Impact'!D125</f>
        <v>0.19136403106684935</v>
      </c>
      <c r="K23" s="4">
        <f>'Fee Impact'!E125</f>
        <v>0.19209499699628158</v>
      </c>
      <c r="L23" s="4">
        <f>'Fee Impact'!F125</f>
        <v>0.18525567079546151</v>
      </c>
      <c r="M23" s="4">
        <f>'Fee Impact'!G125</f>
        <v>0.18379297426881439</v>
      </c>
      <c r="N23" s="4">
        <f>'Fee Impact'!H125</f>
        <v>0.18881169368080547</v>
      </c>
    </row>
    <row r="24" spans="2:14">
      <c r="B24" s="39" t="s">
        <v>80</v>
      </c>
      <c r="C24" s="38">
        <f>'Bill Impacts (detailed)'!L222</f>
        <v>295.87436342302141</v>
      </c>
      <c r="D24" s="38">
        <f>'Bill Impacts (detailed)'!M222</f>
        <v>295.87436342302141</v>
      </c>
      <c r="E24" s="40"/>
      <c r="F24" s="22"/>
      <c r="H24" s="16" t="str">
        <f>'Fee Impact'!B126</f>
        <v>General</v>
      </c>
      <c r="I24" s="4">
        <f>'Fee Impact'!C126</f>
        <v>0.19011296121616825</v>
      </c>
      <c r="J24" s="4">
        <f>'Fee Impact'!D126</f>
        <v>0.1775571608988461</v>
      </c>
      <c r="K24" s="4">
        <f>'Fee Impact'!E126</f>
        <v>0.16405891810155637</v>
      </c>
      <c r="L24" s="4">
        <f>'Fee Impact'!F126</f>
        <v>0.16980778272037503</v>
      </c>
      <c r="M24" s="4">
        <f>'Fee Impact'!G126</f>
        <v>0.15857691561688783</v>
      </c>
      <c r="N24" s="4">
        <f>'Fee Impact'!H126</f>
        <v>0.18881169368080547</v>
      </c>
    </row>
    <row r="25" spans="2:14">
      <c r="B25" s="39" t="s">
        <v>77</v>
      </c>
      <c r="C25" s="38">
        <f>'Bill Impacts (detailed)'!L223+'Bill Impacts (detailed)'!L224</f>
        <v>2678.792656216187</v>
      </c>
      <c r="D25" s="38">
        <f>'Bill Impacts (detailed)'!M223+'Bill Impacts (detailed)'!M224-'Bill Impacts (detailed)'!M192-'Bill Impacts (detailed)'!M211</f>
        <v>2678.7926562161874</v>
      </c>
      <c r="E25" s="208">
        <f>(D25+D26)/C25-1</f>
        <v>1.4125055248036977E-2</v>
      </c>
      <c r="F25" s="22"/>
      <c r="H25" s="16" t="str">
        <f>'Fee Impact'!B127</f>
        <v>Large General</v>
      </c>
      <c r="I25" s="4">
        <f>'Fee Impact'!C127</f>
        <v>0.18514994069093008</v>
      </c>
      <c r="J25" s="4">
        <f>'Fee Impact'!D127</f>
        <v>0.15085013100124928</v>
      </c>
      <c r="K25" s="4">
        <f>'Fee Impact'!E127</f>
        <v>0.1139757663736596</v>
      </c>
      <c r="L25" s="4">
        <f>'Fee Impact'!F127</f>
        <v>0.15790076877556633</v>
      </c>
      <c r="M25" s="4">
        <f>'Fee Impact'!G127</f>
        <v>0.11329876621290033</v>
      </c>
      <c r="N25" s="4">
        <f>'Fee Impact'!H127</f>
        <v>0.18881169368080547</v>
      </c>
    </row>
    <row r="26" spans="2:14">
      <c r="B26" s="39" t="s">
        <v>78</v>
      </c>
      <c r="C26" s="38"/>
      <c r="D26" s="38">
        <f>'Bill Impacts (detailed)'!M192+'Bill Impacts (detailed)'!M211</f>
        <v>37.838094267088749</v>
      </c>
      <c r="E26" s="208"/>
      <c r="F26" s="22"/>
      <c r="H26" s="16" t="str">
        <f>'Fee Impact'!B128</f>
        <v>Small Industrial</v>
      </c>
      <c r="I26" s="4">
        <f>'Fee Impact'!C128</f>
        <v>0.1897644336563287</v>
      </c>
      <c r="J26" s="4">
        <f>'Fee Impact'!D128</f>
        <v>0.16880323095533145</v>
      </c>
      <c r="K26" s="4">
        <f>'Fee Impact'!E128</f>
        <v>0.14626867352127287</v>
      </c>
      <c r="L26" s="4">
        <f>'Fee Impact'!F128</f>
        <v>0.15686496623149487</v>
      </c>
      <c r="M26" s="4">
        <f>'Fee Impact'!G128</f>
        <v>0.14257692935800897</v>
      </c>
      <c r="N26" s="4">
        <f>'Fee Impact'!H128</f>
        <v>0.18881169368080547</v>
      </c>
    </row>
    <row r="27" spans="2:14">
      <c r="B27" s="37" t="s">
        <v>79</v>
      </c>
      <c r="C27" s="36">
        <f>SUM(C24:C26)</f>
        <v>2974.6670196392083</v>
      </c>
      <c r="D27" s="36">
        <f>SUM(D24:D26)</f>
        <v>3012.5051139062975</v>
      </c>
      <c r="E27" s="35">
        <f>D27/C27-1</f>
        <v>1.2720110861913714E-2</v>
      </c>
      <c r="H27" s="16" t="str">
        <f>'Fee Impact'!B129</f>
        <v>Medium Industrial</v>
      </c>
      <c r="I27" s="4">
        <f>'Fee Impact'!C129</f>
        <v>0.18808299970053197</v>
      </c>
      <c r="J27" s="4">
        <f>'Fee Impact'!D129</f>
        <v>0.14734638956609572</v>
      </c>
      <c r="K27" s="4">
        <f>'Fee Impact'!E129</f>
        <v>0.10355207614630174</v>
      </c>
      <c r="L27" s="4">
        <f>'Fee Impact'!F129</f>
        <v>0.12848804899439673</v>
      </c>
      <c r="M27" s="4">
        <f>'Fee Impact'!G129</f>
        <v>0.10410913361612116</v>
      </c>
      <c r="N27" s="4">
        <f>'Fee Impact'!H129</f>
        <v>0.18881169368080547</v>
      </c>
    </row>
    <row r="28" spans="2:14">
      <c r="B28" s="43" t="s">
        <v>23</v>
      </c>
      <c r="C28" s="42"/>
      <c r="D28" s="42"/>
      <c r="E28" s="41"/>
      <c r="H28" s="16" t="str">
        <f>'Fee Impact'!B130</f>
        <v>Large Industrial</v>
      </c>
      <c r="I28" s="4">
        <f>'Fee Impact'!C130</f>
        <v>0.18250791934012769</v>
      </c>
      <c r="J28" s="4">
        <f>'Fee Impact'!D130</f>
        <v>0.14517351475855039</v>
      </c>
      <c r="K28" s="4">
        <f>'Fee Impact'!E130</f>
        <v>0.10503677755358516</v>
      </c>
      <c r="L28" s="4">
        <f>'Fee Impact'!F130</f>
        <v>0.14656513413873656</v>
      </c>
      <c r="M28" s="4">
        <f>'Fee Impact'!G130</f>
        <v>0.10511376795305967</v>
      </c>
      <c r="N28" s="4">
        <f>'Fee Impact'!H130</f>
        <v>0.18881169368080547</v>
      </c>
    </row>
    <row r="29" spans="2:14">
      <c r="B29" s="39" t="s">
        <v>80</v>
      </c>
      <c r="C29" s="38">
        <f>'Bill Impacts (detailed)'!L253</f>
        <v>6470.5600325387986</v>
      </c>
      <c r="D29" s="38">
        <f>'Bill Impacts (detailed)'!M253</f>
        <v>6470.5600325387986</v>
      </c>
      <c r="E29" s="40"/>
      <c r="F29" s="22"/>
      <c r="H29" s="16" t="str">
        <f>'Fee Impact'!B131</f>
        <v>PHP</v>
      </c>
      <c r="I29" s="4">
        <f>'Fee Impact'!C131</f>
        <v>0.18039652064670639</v>
      </c>
      <c r="J29" s="4">
        <f>'Fee Impact'!D131</f>
        <v>0.18913416671873118</v>
      </c>
      <c r="K29" s="4">
        <f>'Fee Impact'!E131</f>
        <v>0.19852766336380445</v>
      </c>
      <c r="L29" s="4">
        <f>'Fee Impact'!F131</f>
        <v>0.47355464314251594</v>
      </c>
      <c r="M29" s="4">
        <f>'Fee Impact'!G131</f>
        <v>0.18896388432178476</v>
      </c>
      <c r="N29" s="4">
        <f>'Fee Impact'!H131</f>
        <v>0.18881169368080547</v>
      </c>
    </row>
    <row r="30" spans="2:14">
      <c r="B30" s="39" t="s">
        <v>77</v>
      </c>
      <c r="C30" s="38">
        <f>'Bill Impacts (detailed)'!L254+'Bill Impacts (detailed)'!L255</f>
        <v>20650.176678507254</v>
      </c>
      <c r="D30" s="38">
        <f>'Bill Impacts (detailed)'!M254+'Bill Impacts (detailed)'!M255-'Bill Impacts (detailed)'!M247</f>
        <v>20650.176678507254</v>
      </c>
      <c r="E30" s="208">
        <f>(D30+D31)/C30-1</f>
        <v>1.7979132317155644E-2</v>
      </c>
      <c r="F30" s="22"/>
      <c r="H30" s="16" t="str">
        <f>'Fee Impact'!B132</f>
        <v>Municipal</v>
      </c>
      <c r="I30" s="4">
        <f>'Fee Impact'!C132</f>
        <v>0.1819894727727128</v>
      </c>
      <c r="J30" s="4">
        <f>'Fee Impact'!D132</f>
        <v>0.20121400091704394</v>
      </c>
      <c r="K30" s="4">
        <f>'Fee Impact'!E132</f>
        <v>0.22188152843398817</v>
      </c>
      <c r="L30" s="4">
        <f>'Fee Impact'!F132</f>
        <v>0.21442326852221205</v>
      </c>
      <c r="M30" s="4">
        <f>'Fee Impact'!G132</f>
        <v>0.21003460880378585</v>
      </c>
      <c r="N30" s="4">
        <f>'Fee Impact'!H132</f>
        <v>0.18881169368080547</v>
      </c>
    </row>
    <row r="31" spans="2:14">
      <c r="B31" s="39" t="s">
        <v>78</v>
      </c>
      <c r="C31" s="38"/>
      <c r="D31" s="38">
        <f>'Bill Impacts (detailed)'!M247</f>
        <v>371.27225887552248</v>
      </c>
      <c r="E31" s="208"/>
      <c r="F31" s="22"/>
      <c r="H31" s="16" t="str">
        <f>'Fee Impact'!B133</f>
        <v>Unmetered</v>
      </c>
      <c r="I31" s="4">
        <f>'Fee Impact'!C133</f>
        <v>0.19065148837222035</v>
      </c>
      <c r="J31" s="4">
        <f>'Fee Impact'!D133</f>
        <v>0.15895699815668904</v>
      </c>
      <c r="K31" s="4">
        <f>'Fee Impact'!E133</f>
        <v>0.12488350913541647</v>
      </c>
      <c r="L31" s="4">
        <f>'Fee Impact'!F133</f>
        <v>8.2760505764016834E-2</v>
      </c>
      <c r="M31" s="4">
        <f>'Fee Impact'!G133</f>
        <v>0.12342084308224831</v>
      </c>
      <c r="N31" s="4">
        <f>'Fee Impact'!H133</f>
        <v>0.18881169368080547</v>
      </c>
    </row>
    <row r="32" spans="2:14">
      <c r="B32" s="37" t="s">
        <v>79</v>
      </c>
      <c r="C32" s="36">
        <f>SUM(C29:C31)</f>
        <v>27120.736711046055</v>
      </c>
      <c r="D32" s="36">
        <f>SUM(D29:D31)</f>
        <v>27492.008969921579</v>
      </c>
      <c r="E32" s="35">
        <f>D32/C32-1</f>
        <v>1.3689608170721623E-2</v>
      </c>
      <c r="H32" s="16" t="str">
        <f>'Fee Impact'!B134</f>
        <v>Below the Line</v>
      </c>
      <c r="I32" s="4">
        <f>'Fee Impact'!C134</f>
        <v>0.18070257983605911</v>
      </c>
      <c r="J32" s="4">
        <f>'Fee Impact'!D134</f>
        <v>9.4111379993112268E-2</v>
      </c>
      <c r="K32" s="4">
        <f>'Fee Impact'!E134</f>
        <v>1.0206163580612044E-3</v>
      </c>
      <c r="L32" s="4">
        <f>'Fee Impact'!F134</f>
        <v>0.12169765688464745</v>
      </c>
      <c r="M32" s="4">
        <f>'Fee Impact'!G134</f>
        <v>1.1578619330143232E-2</v>
      </c>
      <c r="N32" s="4">
        <f>'Fee Impact'!H134</f>
        <v>0.18881169368080547</v>
      </c>
    </row>
    <row r="33" spans="2:14">
      <c r="B33" s="43" t="s">
        <v>24</v>
      </c>
      <c r="C33" s="42"/>
      <c r="D33" s="42"/>
      <c r="E33" s="41"/>
      <c r="H33" s="12" t="str">
        <f>'Fee Impact'!B135</f>
        <v>Total (Average)</v>
      </c>
      <c r="I33" s="2">
        <f>'Fee Impact'!C135</f>
        <v>0.18881169368080547</v>
      </c>
      <c r="J33" s="2">
        <f>'Fee Impact'!D135</f>
        <v>0.18881169368080547</v>
      </c>
      <c r="K33" s="2">
        <f>'Fee Impact'!E135</f>
        <v>0.18881169368080547</v>
      </c>
      <c r="L33" s="2">
        <f>'Fee Impact'!F135</f>
        <v>0.18881169368080547</v>
      </c>
      <c r="M33" s="2">
        <f>'Fee Impact'!G135</f>
        <v>0.18881169368080547</v>
      </c>
      <c r="N33" s="2">
        <f>'Fee Impact'!H135</f>
        <v>0.18881169368080547</v>
      </c>
    </row>
    <row r="34" spans="2:14">
      <c r="B34" s="39" t="s">
        <v>80</v>
      </c>
      <c r="C34" s="38">
        <f>'Bill Impacts (detailed)'!L314</f>
        <v>35797.484027446655</v>
      </c>
      <c r="D34" s="38">
        <f>'Bill Impacts (detailed)'!M314</f>
        <v>35797.484027446655</v>
      </c>
      <c r="E34" s="40"/>
      <c r="F34" s="22"/>
    </row>
    <row r="35" spans="2:14">
      <c r="B35" s="39" t="s">
        <v>77</v>
      </c>
      <c r="C35" s="38">
        <f>'Bill Impacts (detailed)'!L315+'Bill Impacts (detailed)'!L316</f>
        <v>167004.79413886165</v>
      </c>
      <c r="D35" s="38">
        <f>'Bill Impacts (detailed)'!M315+'Bill Impacts (detailed)'!M316-'Bill Impacts (detailed)'!M284</f>
        <v>167004.79413886165</v>
      </c>
      <c r="E35" s="208">
        <f>(D35+D36)/C35-1</f>
        <v>1.757084117742802E-2</v>
      </c>
      <c r="F35" s="22"/>
    </row>
    <row r="36" spans="2:14">
      <c r="B36" s="39" t="s">
        <v>78</v>
      </c>
      <c r="C36" s="38"/>
      <c r="D36" s="38">
        <f>'Bill Impacts (detailed)'!M284</f>
        <v>2934.4147136829761</v>
      </c>
      <c r="E36" s="208"/>
      <c r="F36" s="22"/>
    </row>
    <row r="37" spans="2:14">
      <c r="B37" s="37" t="s">
        <v>79</v>
      </c>
      <c r="C37" s="36">
        <f>SUM(C34:C36)</f>
        <v>202802.2781663083</v>
      </c>
      <c r="D37" s="36">
        <f>SUM(D34:D36)</f>
        <v>205736.69287999129</v>
      </c>
      <c r="E37" s="35">
        <f>D37/C37-1</f>
        <v>1.4469338018366029E-2</v>
      </c>
    </row>
    <row r="38" spans="2:14">
      <c r="B38" s="43" t="str">
        <f>'Bill Impacts (detailed)'!B415</f>
        <v>Extra Large Industrial Dispatchable</v>
      </c>
      <c r="C38" s="42"/>
      <c r="D38" s="42"/>
      <c r="E38" s="41"/>
    </row>
    <row r="39" spans="2:14">
      <c r="B39" s="39" t="s">
        <v>80</v>
      </c>
      <c r="C39" s="38">
        <f>'Bill Impacts (detailed)'!L471</f>
        <v>472923.30397353641</v>
      </c>
      <c r="D39" s="38">
        <f>'Bill Impacts (detailed)'!M471</f>
        <v>472923.30397353641</v>
      </c>
      <c r="E39" s="40"/>
      <c r="F39" s="22"/>
    </row>
    <row r="40" spans="2:14">
      <c r="B40" s="39" t="s">
        <v>77</v>
      </c>
      <c r="C40" s="38">
        <f>'Bill Impacts (detailed)'!L472+'Bill Impacts (detailed)'!L473</f>
        <v>2823782.0577312252</v>
      </c>
      <c r="D40" s="38">
        <f>'Bill Impacts (detailed)'!M472+'Bill Impacts (detailed)'!M473-'Bill Impacts (detailed)'!M441-'Bill Impacts (detailed)'!M464</f>
        <v>2823782.0577312256</v>
      </c>
      <c r="E40" s="208">
        <f>(D40+D41)/C40-1</f>
        <v>1.6199184970879132E-2</v>
      </c>
      <c r="F40" s="22"/>
    </row>
    <row r="41" spans="2:14">
      <c r="B41" s="39" t="s">
        <v>78</v>
      </c>
      <c r="C41" s="38"/>
      <c r="D41" s="38">
        <f>'Bill Impacts (detailed)'!M441+'Bill Impacts (detailed)'!M464</f>
        <v>45742.967870637498</v>
      </c>
      <c r="E41" s="208"/>
      <c r="F41" s="22"/>
    </row>
    <row r="42" spans="2:14">
      <c r="B42" s="37" t="s">
        <v>79</v>
      </c>
      <c r="C42" s="36">
        <f>SUM(C39:C41)</f>
        <v>3296705.3617047616</v>
      </c>
      <c r="D42" s="36">
        <f>SUM(D39:D41)</f>
        <v>3342448.3295753994</v>
      </c>
      <c r="E42" s="35">
        <f>D42/C42-1</f>
        <v>1.3875358229460844E-2</v>
      </c>
    </row>
    <row r="43" spans="2:14">
      <c r="B43" s="43" t="s">
        <v>82</v>
      </c>
      <c r="C43" s="42"/>
      <c r="D43" s="42"/>
      <c r="E43" s="41"/>
    </row>
    <row r="44" spans="2:14">
      <c r="B44" s="39" t="s">
        <v>80</v>
      </c>
      <c r="C44" s="38">
        <f>'Bill Impacts (detailed)'!L346</f>
        <v>107857.55054920701</v>
      </c>
      <c r="D44" s="38">
        <f>'Bill Impacts (detailed)'!M346</f>
        <v>107857.55054920701</v>
      </c>
      <c r="E44" s="40"/>
    </row>
    <row r="45" spans="2:14">
      <c r="B45" s="39" t="s">
        <v>77</v>
      </c>
      <c r="C45" s="38">
        <f>'Bill Impacts (detailed)'!L347+'Bill Impacts (detailed)'!L348</f>
        <v>292002.75097012491</v>
      </c>
      <c r="D45" s="38">
        <f>'Bill Impacts (detailed)'!M347+'Bill Impacts (detailed)'!M348-'Bill Impacts (detailed)'!M340</f>
        <v>292002.75097012491</v>
      </c>
      <c r="E45" s="208">
        <f>(D45+D46)/C45-1</f>
        <v>1.4586636745173909E-2</v>
      </c>
    </row>
    <row r="46" spans="2:14">
      <c r="B46" s="39" t="s">
        <v>78</v>
      </c>
      <c r="C46" s="38"/>
      <c r="D46" s="38">
        <f>'Bill Impacts (detailed)'!M340</f>
        <v>4259.3380569926612</v>
      </c>
      <c r="E46" s="208"/>
    </row>
    <row r="47" spans="2:14">
      <c r="B47" s="37" t="s">
        <v>79</v>
      </c>
      <c r="C47" s="36">
        <f>SUM(C44:C46)</f>
        <v>399860.30151933193</v>
      </c>
      <c r="D47" s="36">
        <f>SUM(D44:D46)</f>
        <v>404119.63957632461</v>
      </c>
      <c r="E47" s="35">
        <f>D47/C47-1</f>
        <v>1.0652065335840177E-2</v>
      </c>
    </row>
  </sheetData>
  <mergeCells count="19">
    <mergeCell ref="E30:E31"/>
    <mergeCell ref="E35:E36"/>
    <mergeCell ref="E45:E46"/>
    <mergeCell ref="E40:E41"/>
    <mergeCell ref="H2:J2"/>
    <mergeCell ref="E5:E6"/>
    <mergeCell ref="N19:N21"/>
    <mergeCell ref="E10:E11"/>
    <mergeCell ref="E15:E16"/>
    <mergeCell ref="E20:E21"/>
    <mergeCell ref="E25:E26"/>
    <mergeCell ref="I18:N18"/>
    <mergeCell ref="J16:M16"/>
    <mergeCell ref="H19:H21"/>
    <mergeCell ref="I19:I21"/>
    <mergeCell ref="J19:J21"/>
    <mergeCell ref="M19:M21"/>
    <mergeCell ref="K19:K21"/>
    <mergeCell ref="L19:L2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EFD11F-934A-4728-8B21-E17A3683F4E9}">
          <x14:formula1>
            <xm:f>'Fee Impact'!$C$123:$H$123</xm:f>
          </x14:formula1>
          <xm:sqref>J16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460A-337B-4906-B7CE-15573288C485}">
  <sheetPr>
    <pageSetUpPr autoPageBreaks="0"/>
  </sheetPr>
  <dimension ref="A1:N474"/>
  <sheetViews>
    <sheetView view="pageBreakPreview" zoomScale="115" zoomScaleNormal="100" zoomScaleSheetLayoutView="115" workbookViewId="0">
      <pane xSplit="2" ySplit="3" topLeftCell="C4" activePane="bottomRight" state="frozen"/>
      <selection pane="bottomRight" activeCell="Q238" sqref="Q238"/>
      <selection pane="bottomLeft" activeCell="E21" sqref="E21"/>
      <selection pane="topRight" activeCell="E21" sqref="E21"/>
    </sheetView>
  </sheetViews>
  <sheetFormatPr defaultColWidth="9.140625" defaultRowHeight="12.75"/>
  <cols>
    <col min="1" max="1" width="1.140625" style="57" customWidth="1"/>
    <col min="2" max="2" width="42.42578125" style="57" customWidth="1"/>
    <col min="3" max="3" width="6.140625" style="57" bestFit="1" customWidth="1"/>
    <col min="4" max="4" width="11.42578125" style="60" customWidth="1"/>
    <col min="5" max="5" width="11.140625" style="60" customWidth="1"/>
    <col min="6" max="6" width="12.5703125" style="59" customWidth="1"/>
    <col min="7" max="7" width="13.5703125" style="58" customWidth="1"/>
    <col min="8" max="8" width="1.85546875" style="57" customWidth="1"/>
    <col min="9" max="9" width="12.28515625" style="57" customWidth="1"/>
    <col min="10" max="10" width="9.140625" style="57"/>
    <col min="11" max="12" width="14.140625" style="57" bestFit="1" customWidth="1"/>
    <col min="13" max="13" width="13.140625" style="57" customWidth="1"/>
    <col min="14" max="16384" width="9.140625" style="57"/>
  </cols>
  <sheetData>
    <row r="1" spans="1:14" ht="6" customHeight="1" thickBot="1">
      <c r="B1" s="188"/>
      <c r="C1" s="188"/>
      <c r="D1" s="187"/>
      <c r="E1" s="187"/>
      <c r="F1" s="186"/>
      <c r="G1" s="185"/>
    </row>
    <row r="2" spans="1:14" ht="38.85" customHeight="1" thickBot="1">
      <c r="B2" s="217" t="s">
        <v>83</v>
      </c>
      <c r="C2" s="218"/>
      <c r="D2" s="218"/>
      <c r="E2" s="218"/>
      <c r="F2" s="218"/>
      <c r="G2" s="219"/>
      <c r="I2" s="217" t="s">
        <v>84</v>
      </c>
      <c r="J2" s="218"/>
      <c r="K2" s="218"/>
      <c r="L2" s="218"/>
      <c r="M2" s="218"/>
      <c r="N2" s="219"/>
    </row>
    <row r="3" spans="1:14" ht="30" customHeight="1">
      <c r="A3" s="57">
        <v>1</v>
      </c>
      <c r="B3" s="122"/>
      <c r="C3" s="184" t="s">
        <v>85</v>
      </c>
      <c r="D3" s="183">
        <v>2026</v>
      </c>
      <c r="E3" s="183">
        <v>2027</v>
      </c>
      <c r="F3" s="182" t="s">
        <v>86</v>
      </c>
      <c r="G3" s="181" t="s">
        <v>87</v>
      </c>
      <c r="I3" s="180" t="s">
        <v>88</v>
      </c>
      <c r="J3" s="179" t="s">
        <v>89</v>
      </c>
      <c r="K3" s="179">
        <v>2026</v>
      </c>
      <c r="L3" s="179">
        <v>2027</v>
      </c>
      <c r="M3" s="178" t="s">
        <v>90</v>
      </c>
      <c r="N3" s="76"/>
    </row>
    <row r="4" spans="1:14" ht="34.5" customHeight="1">
      <c r="B4" s="138" t="s">
        <v>91</v>
      </c>
      <c r="C4" s="137"/>
      <c r="D4" s="136"/>
      <c r="E4" s="136"/>
      <c r="F4" s="135"/>
      <c r="G4" s="134"/>
      <c r="I4" s="71"/>
      <c r="N4" s="76"/>
    </row>
    <row r="5" spans="1:14" ht="7.5" customHeight="1">
      <c r="B5" s="117"/>
      <c r="C5" s="74"/>
      <c r="D5" s="88"/>
      <c r="E5" s="88"/>
      <c r="F5" s="87"/>
      <c r="G5" s="86"/>
      <c r="I5" s="71"/>
      <c r="N5" s="76"/>
    </row>
    <row r="6" spans="1:14" ht="15">
      <c r="B6" s="113" t="s">
        <v>76</v>
      </c>
      <c r="C6" s="74" t="s">
        <v>92</v>
      </c>
      <c r="D6" s="176">
        <v>20.082455561777145</v>
      </c>
      <c r="E6" s="175">
        <v>21.038342273904735</v>
      </c>
      <c r="F6" s="174">
        <f>E6-D6</f>
        <v>0.95588671212759024</v>
      </c>
      <c r="G6" s="72">
        <f>IF(ISERROR(E6/D6-1)=TRUE,0,(E6/D6-1))</f>
        <v>4.7598099205902189E-2</v>
      </c>
      <c r="I6" s="71">
        <v>1</v>
      </c>
      <c r="J6" s="57" t="s">
        <v>93</v>
      </c>
      <c r="K6" s="101">
        <f>D6*I6</f>
        <v>20.082455561777145</v>
      </c>
      <c r="L6" s="101">
        <f>E6*I6</f>
        <v>21.038342273904735</v>
      </c>
      <c r="M6" s="101">
        <f>L6</f>
        <v>21.038342273904735</v>
      </c>
      <c r="N6" s="76"/>
    </row>
    <row r="7" spans="1:14" ht="5.85" customHeight="1">
      <c r="B7" s="177"/>
      <c r="C7" s="74"/>
      <c r="D7" s="73"/>
      <c r="E7" s="127"/>
      <c r="F7" s="129"/>
      <c r="G7" s="107"/>
      <c r="I7" s="71"/>
      <c r="K7" s="101"/>
      <c r="L7" s="101"/>
      <c r="M7" s="101"/>
      <c r="N7" s="76"/>
    </row>
    <row r="8" spans="1:14" ht="15">
      <c r="B8" s="113" t="s">
        <v>77</v>
      </c>
      <c r="C8" s="74"/>
      <c r="D8" s="88"/>
      <c r="E8" s="130"/>
      <c r="F8" s="129"/>
      <c r="G8" s="107"/>
      <c r="I8" s="71"/>
      <c r="K8" s="101"/>
      <c r="L8" s="101"/>
      <c r="M8" s="101"/>
      <c r="N8" s="76"/>
    </row>
    <row r="9" spans="1:14">
      <c r="B9" s="100" t="s">
        <v>94</v>
      </c>
      <c r="C9" s="74" t="s">
        <v>95</v>
      </c>
      <c r="D9" s="88">
        <v>8.9702266255000378</v>
      </c>
      <c r="E9" s="130">
        <v>8.8405876926287874</v>
      </c>
      <c r="F9" s="129">
        <f>E9-D9</f>
        <v>-0.12963893287125039</v>
      </c>
      <c r="G9" s="86">
        <f>IF(ISERROR(E9/D9-1)=TRUE,0,(E9/D9-1))</f>
        <v>-1.4452135746796047E-2</v>
      </c>
      <c r="I9" s="133">
        <v>886.56106652849815</v>
      </c>
      <c r="J9" s="57" t="s">
        <v>96</v>
      </c>
      <c r="K9" s="105">
        <f>D9/100*I9</f>
        <v>79.526536841056455</v>
      </c>
      <c r="L9" s="105">
        <f>E9/100*I9</f>
        <v>78.377208535156925</v>
      </c>
      <c r="M9" s="105">
        <f>L9</f>
        <v>78.377208535156925</v>
      </c>
      <c r="N9" s="76"/>
    </row>
    <row r="10" spans="1:14" ht="15">
      <c r="B10" s="104" t="s">
        <v>97</v>
      </c>
      <c r="C10" s="74" t="s">
        <v>95</v>
      </c>
      <c r="D10" s="85">
        <v>9.3533053441364622</v>
      </c>
      <c r="E10" s="132">
        <v>10.226664878603144</v>
      </c>
      <c r="F10" s="128">
        <f>E10-D10</f>
        <v>0.87335953446668135</v>
      </c>
      <c r="G10" s="83">
        <f>IF(ISERROR(E10/D10-1)=TRUE,0,(E10/D10-1))</f>
        <v>9.3374427791367509E-2</v>
      </c>
      <c r="I10" s="149">
        <f>I9</f>
        <v>886.56106652849815</v>
      </c>
      <c r="J10" s="57" t="s">
        <v>96</v>
      </c>
      <c r="K10" s="102">
        <f>D10/100*I10</f>
        <v>82.92276361464323</v>
      </c>
      <c r="L10" s="102">
        <f>E10/100*I10</f>
        <v>90.665629218039371</v>
      </c>
      <c r="M10" s="102">
        <f>L10</f>
        <v>90.665629218039371</v>
      </c>
      <c r="N10" s="76"/>
    </row>
    <row r="11" spans="1:14">
      <c r="B11" s="100" t="s">
        <v>98</v>
      </c>
      <c r="C11" s="74"/>
      <c r="D11" s="88">
        <f>SUM(D8:D10)</f>
        <v>18.323531969636498</v>
      </c>
      <c r="E11" s="130">
        <f>SUM(E8:E10)</f>
        <v>19.067252571231933</v>
      </c>
      <c r="F11" s="129">
        <f>SUM(F8:F10)</f>
        <v>0.74372060159543096</v>
      </c>
      <c r="G11" s="86">
        <f>IF(ISERROR(E11/D11-1)=TRUE,0,(E11/D11-1))</f>
        <v>4.0588277567219944E-2</v>
      </c>
      <c r="I11" s="71"/>
      <c r="K11" s="101">
        <f>SUM(K8:K10)</f>
        <v>162.4493004556997</v>
      </c>
      <c r="L11" s="101">
        <f>SUM(L8:L10)</f>
        <v>169.0428377531963</v>
      </c>
      <c r="M11" s="101">
        <f>SUM(M8:M10)</f>
        <v>169.0428377531963</v>
      </c>
      <c r="N11" s="76"/>
    </row>
    <row r="12" spans="1:14" ht="6.75" customHeight="1">
      <c r="B12" s="100"/>
      <c r="C12" s="74"/>
      <c r="D12" s="88"/>
      <c r="E12" s="130"/>
      <c r="F12" s="129"/>
      <c r="G12" s="86"/>
      <c r="I12" s="71"/>
      <c r="K12" s="101"/>
      <c r="L12" s="101"/>
      <c r="M12" s="101"/>
      <c r="N12" s="76"/>
    </row>
    <row r="13" spans="1:14">
      <c r="B13" s="104" t="s">
        <v>99</v>
      </c>
      <c r="C13" s="74" t="s">
        <v>95</v>
      </c>
      <c r="D13" s="88">
        <v>0</v>
      </c>
      <c r="E13" s="130">
        <v>0</v>
      </c>
      <c r="F13" s="129">
        <f>E13-D13</f>
        <v>0</v>
      </c>
      <c r="G13" s="86">
        <f>IF(ISERROR(E13/D13-1)=TRUE,0,(E13/D13-1))</f>
        <v>0</v>
      </c>
      <c r="I13" s="149">
        <f>I10</f>
        <v>886.56106652849815</v>
      </c>
      <c r="J13" s="57" t="s">
        <v>96</v>
      </c>
      <c r="K13" s="105">
        <f>D13/100*I13</f>
        <v>0</v>
      </c>
      <c r="L13" s="105">
        <f>E13/100*I13</f>
        <v>0</v>
      </c>
      <c r="M13" s="105">
        <f>L13</f>
        <v>0</v>
      </c>
      <c r="N13" s="76"/>
    </row>
    <row r="14" spans="1:14" ht="15">
      <c r="B14" s="104" t="s">
        <v>100</v>
      </c>
      <c r="C14" s="74" t="s">
        <v>95</v>
      </c>
      <c r="D14" s="103">
        <v>0.156</v>
      </c>
      <c r="E14" s="132">
        <v>0.156</v>
      </c>
      <c r="F14" s="128">
        <f>E14-D14</f>
        <v>0</v>
      </c>
      <c r="G14" s="83">
        <f>IF(ISERROR(E14/D14-1)=TRUE,0,(E14/D14-1))</f>
        <v>0</v>
      </c>
      <c r="I14" s="149">
        <f>I13</f>
        <v>886.56106652849815</v>
      </c>
      <c r="J14" s="57" t="s">
        <v>96</v>
      </c>
      <c r="K14" s="102">
        <f>D14/100*I14</f>
        <v>1.3830352637844572</v>
      </c>
      <c r="L14" s="102">
        <f>E14/100*I14</f>
        <v>1.3830352637844572</v>
      </c>
      <c r="M14" s="102">
        <f>L14</f>
        <v>1.3830352637844572</v>
      </c>
      <c r="N14" s="76"/>
    </row>
    <row r="15" spans="1:14">
      <c r="B15" s="100" t="s">
        <v>98</v>
      </c>
      <c r="C15" s="74"/>
      <c r="D15" s="88">
        <f>SUM(D13:D14)</f>
        <v>0.156</v>
      </c>
      <c r="E15" s="130">
        <f>SUM(E13:E14)</f>
        <v>0.156</v>
      </c>
      <c r="F15" s="129">
        <f>SUM(F13:F14)</f>
        <v>0</v>
      </c>
      <c r="G15" s="86">
        <f>IF(ISERROR(E15/D15-1)=TRUE,0,(E15/D15-1))</f>
        <v>0</v>
      </c>
      <c r="I15" s="71"/>
      <c r="K15" s="101">
        <f>SUM(K13:K14)</f>
        <v>1.3830352637844572</v>
      </c>
      <c r="L15" s="101">
        <f>SUM(L13:L14)</f>
        <v>1.3830352637844572</v>
      </c>
      <c r="M15" s="101">
        <f>SUM(M13:M14)</f>
        <v>1.3830352637844572</v>
      </c>
      <c r="N15" s="76"/>
    </row>
    <row r="16" spans="1:14" ht="6.6" customHeight="1">
      <c r="B16" s="100"/>
      <c r="C16" s="74"/>
      <c r="D16" s="88"/>
      <c r="E16" s="130"/>
      <c r="F16" s="129"/>
      <c r="G16" s="86"/>
      <c r="I16" s="71"/>
      <c r="K16" s="101"/>
      <c r="L16" s="101"/>
      <c r="M16" s="101"/>
      <c r="N16" s="76"/>
    </row>
    <row r="17" spans="2:14">
      <c r="B17" s="100" t="s">
        <v>101</v>
      </c>
      <c r="C17" s="74" t="s">
        <v>95</v>
      </c>
      <c r="D17" s="130">
        <v>0.65740539162400002</v>
      </c>
      <c r="E17" s="130">
        <v>0.65740539162400002</v>
      </c>
      <c r="F17" s="129">
        <f>E17-D17</f>
        <v>0</v>
      </c>
      <c r="G17" s="86">
        <f>IF(ISERROR(E17/D17-1)=TRUE,0,(E17/D17-1))</f>
        <v>0</v>
      </c>
      <c r="I17" s="149">
        <f>I14</f>
        <v>886.56106652849815</v>
      </c>
      <c r="J17" s="57" t="s">
        <v>96</v>
      </c>
      <c r="K17" s="105">
        <f>D17/100*I17</f>
        <v>5.828300251397585</v>
      </c>
      <c r="L17" s="105">
        <f>E17/100*I17</f>
        <v>5.828300251397585</v>
      </c>
      <c r="M17" s="105">
        <f>L17</f>
        <v>5.828300251397585</v>
      </c>
      <c r="N17" s="76"/>
    </row>
    <row r="18" spans="2:14" ht="15">
      <c r="B18" s="100" t="s">
        <v>102</v>
      </c>
      <c r="C18" s="74" t="s">
        <v>95</v>
      </c>
      <c r="D18" s="103">
        <v>-2.393839E-2</v>
      </c>
      <c r="E18" s="132">
        <v>-2.393839E-2</v>
      </c>
      <c r="F18" s="128">
        <f>E18-D18</f>
        <v>0</v>
      </c>
      <c r="G18" s="83">
        <f>IF(ISERROR(E18/D18-1)=TRUE,0,(E18/D18-1))</f>
        <v>0</v>
      </c>
      <c r="I18" s="149">
        <f>I17</f>
        <v>886.56106652849815</v>
      </c>
      <c r="J18" s="57" t="s">
        <v>96</v>
      </c>
      <c r="K18" s="102">
        <f>D18/100*I18</f>
        <v>-0.21222844569375135</v>
      </c>
      <c r="L18" s="102">
        <f>E18/100*I18</f>
        <v>-0.21222844569375135</v>
      </c>
      <c r="M18" s="102">
        <f>L18</f>
        <v>-0.21222844569375135</v>
      </c>
      <c r="N18" s="76"/>
    </row>
    <row r="19" spans="2:14">
      <c r="B19" s="100" t="s">
        <v>98</v>
      </c>
      <c r="C19" s="74"/>
      <c r="D19" s="130">
        <f>SUM(D17:D18)</f>
        <v>0.63346700162400005</v>
      </c>
      <c r="E19" s="130">
        <f>SUM(E17:E18)</f>
        <v>0.63346700162400005</v>
      </c>
      <c r="F19" s="130">
        <f>SUM(F17:F18)</f>
        <v>0</v>
      </c>
      <c r="G19" s="86">
        <f>IF(ISERROR(E19/D19-1)=TRUE,0,(E19/D19-1))</f>
        <v>0</v>
      </c>
      <c r="I19" s="71"/>
      <c r="K19" s="101">
        <f>SUM(K17:K18)</f>
        <v>5.6160718057038332</v>
      </c>
      <c r="L19" s="101">
        <f>SUM(L17:L18)</f>
        <v>5.6160718057038332</v>
      </c>
      <c r="M19" s="101">
        <f>SUM(M17:M18)</f>
        <v>5.6160718057038332</v>
      </c>
      <c r="N19" s="76"/>
    </row>
    <row r="20" spans="2:14" ht="6.6" customHeight="1">
      <c r="B20" s="90"/>
      <c r="C20" s="74"/>
      <c r="D20" s="88"/>
      <c r="E20" s="130"/>
      <c r="F20" s="129"/>
      <c r="G20" s="86"/>
      <c r="I20" s="71"/>
      <c r="K20" s="101"/>
      <c r="L20" s="101"/>
      <c r="M20" s="101"/>
      <c r="N20" s="76"/>
    </row>
    <row r="21" spans="2:14">
      <c r="B21" s="104" t="s">
        <v>103</v>
      </c>
      <c r="C21" s="74" t="s">
        <v>95</v>
      </c>
      <c r="D21" s="88">
        <v>0</v>
      </c>
      <c r="E21" s="88">
        <v>0</v>
      </c>
      <c r="F21" s="129">
        <f>E21-D21</f>
        <v>0</v>
      </c>
      <c r="G21" s="86">
        <f>IF(ISERROR(E21/D21-1)=TRUE,0,(E21/D21-1))</f>
        <v>0</v>
      </c>
      <c r="I21" s="149">
        <f>I18</f>
        <v>886.56106652849815</v>
      </c>
      <c r="J21" s="57" t="s">
        <v>96</v>
      </c>
      <c r="K21" s="101">
        <f>D21/100*I21</f>
        <v>0</v>
      </c>
      <c r="L21" s="101">
        <f>E21/100*I21</f>
        <v>0</v>
      </c>
      <c r="M21" s="101">
        <f>L21</f>
        <v>0</v>
      </c>
      <c r="N21" s="76"/>
    </row>
    <row r="22" spans="2:14" ht="12.6" customHeight="1">
      <c r="B22" s="99" t="s">
        <v>104</v>
      </c>
      <c r="C22" s="98" t="s">
        <v>95</v>
      </c>
      <c r="D22" s="97"/>
      <c r="E22" s="152">
        <f>HLOOKUP('Bill Impacts'!$J$16,'Fee Impact'!$C$123:$H$135,2,FALSE)</f>
        <v>0.19085134599647893</v>
      </c>
      <c r="F22" s="151"/>
      <c r="G22" s="95"/>
      <c r="H22" s="93"/>
      <c r="I22" s="150">
        <f>I21</f>
        <v>886.56106652849815</v>
      </c>
      <c r="J22" s="93" t="s">
        <v>96</v>
      </c>
      <c r="K22" s="91"/>
      <c r="L22" s="91"/>
      <c r="M22" s="91">
        <f>E22/100*I22</f>
        <v>1.6920137285503778</v>
      </c>
      <c r="N22" s="76"/>
    </row>
    <row r="23" spans="2:14" ht="9.6" customHeight="1">
      <c r="B23" s="75" t="s">
        <v>105</v>
      </c>
      <c r="C23" s="74" t="s">
        <v>95</v>
      </c>
      <c r="D23" s="88">
        <f>D9+D15</f>
        <v>9.1262266255000384</v>
      </c>
      <c r="E23" s="88">
        <f>E9+E15</f>
        <v>8.996587692628788</v>
      </c>
      <c r="F23" s="129">
        <f>E23-D23</f>
        <v>-0.12963893287125039</v>
      </c>
      <c r="G23" s="86">
        <f>IF(ISERROR(E23/D23-1)=TRUE,0,(E23/D23-1))</f>
        <v>-1.4205096826000352E-2</v>
      </c>
      <c r="I23" s="149"/>
      <c r="K23" s="105">
        <f>K9+K15</f>
        <v>80.909572104840919</v>
      </c>
      <c r="L23" s="105">
        <f>L9+L15</f>
        <v>79.760243798941389</v>
      </c>
      <c r="M23" s="105">
        <f>M9+M15</f>
        <v>79.760243798941389</v>
      </c>
      <c r="N23" s="76"/>
    </row>
    <row r="24" spans="2:14" ht="15" customHeight="1">
      <c r="B24" s="75" t="s">
        <v>106</v>
      </c>
      <c r="C24" s="74" t="s">
        <v>95</v>
      </c>
      <c r="D24" s="85">
        <f>D10+D19+D21</f>
        <v>9.9867723457604622</v>
      </c>
      <c r="E24" s="85">
        <f>E10+E19+E21</f>
        <v>10.860131880227144</v>
      </c>
      <c r="F24" s="128">
        <f>E24-D24</f>
        <v>0.87335953446668135</v>
      </c>
      <c r="G24" s="83">
        <f>IF(ISERROR(E24/D24-1)=TRUE,0,(E24/D24-1))</f>
        <v>8.7451631441006539E-2</v>
      </c>
      <c r="I24" s="149"/>
      <c r="K24" s="102">
        <f>K10+K19+K21</f>
        <v>88.53883542034707</v>
      </c>
      <c r="L24" s="102">
        <f>L10+L19+L21</f>
        <v>96.28170102374321</v>
      </c>
      <c r="M24" s="102">
        <f>M10+M19+M21+M22</f>
        <v>97.973714752293589</v>
      </c>
      <c r="N24" s="76"/>
    </row>
    <row r="25" spans="2:14">
      <c r="B25" s="78" t="s">
        <v>107</v>
      </c>
      <c r="C25" s="74"/>
      <c r="D25" s="127">
        <f>D23+D24</f>
        <v>19.112998971260502</v>
      </c>
      <c r="E25" s="127">
        <f>E23+E24</f>
        <v>19.85671957285593</v>
      </c>
      <c r="F25" s="127">
        <f>F11+F15+F19+F21</f>
        <v>0.74372060159543096</v>
      </c>
      <c r="G25" s="72">
        <f>IF(ISERROR(E25/D25-1)=TRUE,0,(E25/D25-1))</f>
        <v>3.8911769038115551E-2</v>
      </c>
      <c r="I25" s="71"/>
      <c r="K25" s="101">
        <f>K24+K23</f>
        <v>169.44840752518797</v>
      </c>
      <c r="L25" s="101">
        <f t="shared" ref="L25:M25" si="0">L24+L23</f>
        <v>176.0419448226846</v>
      </c>
      <c r="M25" s="101">
        <f t="shared" si="0"/>
        <v>177.73395855123499</v>
      </c>
      <c r="N25" s="76"/>
    </row>
    <row r="26" spans="2:14">
      <c r="B26" s="78"/>
      <c r="C26" s="74"/>
      <c r="D26" s="127"/>
      <c r="E26" s="127"/>
      <c r="F26" s="127"/>
      <c r="G26" s="72"/>
      <c r="I26" s="71"/>
      <c r="K26" s="77"/>
      <c r="L26" s="77"/>
      <c r="M26" s="77"/>
      <c r="N26" s="76"/>
    </row>
    <row r="27" spans="2:14">
      <c r="B27" s="78" t="s">
        <v>108</v>
      </c>
      <c r="C27" s="74"/>
      <c r="D27" s="127"/>
      <c r="E27" s="127"/>
      <c r="F27" s="127"/>
      <c r="G27" s="72"/>
      <c r="I27" s="71"/>
      <c r="K27" s="77"/>
      <c r="L27" s="77"/>
      <c r="M27" s="77"/>
      <c r="N27" s="76"/>
    </row>
    <row r="28" spans="2:14">
      <c r="B28" s="75" t="s">
        <v>109</v>
      </c>
      <c r="C28" s="74"/>
      <c r="D28" s="127"/>
      <c r="E28" s="127"/>
      <c r="F28" s="127"/>
      <c r="G28" s="72"/>
      <c r="I28" s="71"/>
      <c r="K28" s="105">
        <f>K6</f>
        <v>20.082455561777145</v>
      </c>
      <c r="L28" s="105">
        <f>L6</f>
        <v>21.038342273904735</v>
      </c>
      <c r="M28" s="105">
        <f>M6</f>
        <v>21.038342273904735</v>
      </c>
      <c r="N28" s="164"/>
    </row>
    <row r="29" spans="2:14">
      <c r="B29" s="75" t="s">
        <v>105</v>
      </c>
      <c r="C29" s="74"/>
      <c r="D29" s="127"/>
      <c r="E29" s="127"/>
      <c r="F29" s="127"/>
      <c r="G29" s="72"/>
      <c r="I29" s="71"/>
      <c r="K29" s="105">
        <f t="shared" ref="K29:M30" si="1">K23</f>
        <v>80.909572104840919</v>
      </c>
      <c r="L29" s="105">
        <f t="shared" si="1"/>
        <v>79.760243798941389</v>
      </c>
      <c r="M29" s="105">
        <f t="shared" si="1"/>
        <v>79.760243798941389</v>
      </c>
      <c r="N29" s="164"/>
    </row>
    <row r="30" spans="2:14" ht="15">
      <c r="B30" s="75" t="s">
        <v>106</v>
      </c>
      <c r="C30" s="74"/>
      <c r="D30" s="127"/>
      <c r="E30" s="127"/>
      <c r="F30" s="127"/>
      <c r="G30" s="72"/>
      <c r="I30" s="71"/>
      <c r="K30" s="165">
        <f t="shared" si="1"/>
        <v>88.53883542034707</v>
      </c>
      <c r="L30" s="165">
        <f t="shared" si="1"/>
        <v>96.28170102374321</v>
      </c>
      <c r="M30" s="165">
        <f t="shared" si="1"/>
        <v>97.973714752293589</v>
      </c>
      <c r="N30" s="164"/>
    </row>
    <row r="31" spans="2:14">
      <c r="B31" s="78" t="s">
        <v>110</v>
      </c>
      <c r="C31" s="74"/>
      <c r="D31" s="127"/>
      <c r="E31" s="127"/>
      <c r="F31" s="127"/>
      <c r="G31" s="72"/>
      <c r="I31" s="71"/>
      <c r="K31" s="110">
        <f>K28+K29+K30</f>
        <v>189.53086308696516</v>
      </c>
      <c r="L31" s="110">
        <f>L28+L29+L30</f>
        <v>197.08028709658933</v>
      </c>
      <c r="M31" s="110">
        <f>M28+M29+M30</f>
        <v>198.77230082513972</v>
      </c>
      <c r="N31" s="147">
        <f>M31/L31-1</f>
        <v>8.5854032053502838E-3</v>
      </c>
    </row>
    <row r="32" spans="2:14" ht="6.6" customHeight="1">
      <c r="B32" s="100"/>
      <c r="C32" s="74"/>
      <c r="D32" s="88"/>
      <c r="E32" s="130"/>
      <c r="F32" s="129"/>
      <c r="G32" s="86"/>
      <c r="I32" s="71"/>
      <c r="K32" s="77"/>
      <c r="L32" s="77"/>
      <c r="M32" s="77"/>
      <c r="N32" s="76"/>
    </row>
    <row r="33" spans="1:14" ht="27" customHeight="1">
      <c r="A33" s="170">
        <v>2</v>
      </c>
      <c r="B33" s="138" t="s">
        <v>111</v>
      </c>
      <c r="C33" s="137"/>
      <c r="D33" s="136"/>
      <c r="E33" s="136"/>
      <c r="F33" s="135"/>
      <c r="G33" s="134"/>
      <c r="I33" s="157"/>
      <c r="J33" s="156"/>
      <c r="K33" s="155"/>
      <c r="L33" s="155"/>
      <c r="M33" s="155"/>
      <c r="N33" s="154"/>
    </row>
    <row r="34" spans="1:14" ht="8.1" customHeight="1">
      <c r="A34" s="170"/>
      <c r="B34" s="117"/>
      <c r="C34" s="74"/>
      <c r="D34" s="88"/>
      <c r="E34" s="88"/>
      <c r="F34" s="87"/>
      <c r="G34" s="86"/>
      <c r="I34" s="71"/>
      <c r="K34" s="77"/>
      <c r="L34" s="77"/>
      <c r="M34" s="77"/>
      <c r="N34" s="76"/>
    </row>
    <row r="35" spans="1:14" ht="15">
      <c r="B35" s="108" t="s">
        <v>76</v>
      </c>
      <c r="C35" s="74" t="s">
        <v>92</v>
      </c>
      <c r="D35" s="176">
        <v>21.99531132340103</v>
      </c>
      <c r="E35" s="175">
        <v>22.734667303258153</v>
      </c>
      <c r="F35" s="174">
        <f>E35-D35</f>
        <v>0.7393559798571232</v>
      </c>
      <c r="G35" s="72">
        <f>IF(ISERROR(E35/D35-1)=TRUE,0,(E35/D35-1))</f>
        <v>3.3614253919221238E-2</v>
      </c>
      <c r="I35" s="71">
        <v>1</v>
      </c>
      <c r="J35" s="57" t="s">
        <v>93</v>
      </c>
      <c r="K35" s="101">
        <f>D35*I35</f>
        <v>21.99531132340103</v>
      </c>
      <c r="L35" s="101">
        <f>E35*I35</f>
        <v>22.734667303258153</v>
      </c>
      <c r="M35" s="101">
        <f>L35</f>
        <v>22.734667303258153</v>
      </c>
      <c r="N35" s="76"/>
    </row>
    <row r="36" spans="1:14" ht="6" customHeight="1">
      <c r="B36" s="108"/>
      <c r="C36" s="74"/>
      <c r="D36" s="141"/>
      <c r="E36" s="140"/>
      <c r="F36" s="139"/>
      <c r="G36" s="86"/>
      <c r="I36" s="71"/>
      <c r="K36" s="101"/>
      <c r="L36" s="101"/>
      <c r="M36" s="101"/>
      <c r="N36" s="76"/>
    </row>
    <row r="37" spans="1:14" ht="15">
      <c r="B37" s="113" t="s">
        <v>77</v>
      </c>
      <c r="C37" s="74"/>
      <c r="D37" s="141"/>
      <c r="E37" s="140"/>
      <c r="F37" s="139"/>
      <c r="G37" s="107"/>
      <c r="I37" s="71"/>
      <c r="K37" s="101"/>
      <c r="L37" s="101"/>
      <c r="M37" s="101"/>
      <c r="N37" s="76"/>
    </row>
    <row r="38" spans="1:14" ht="15">
      <c r="B38" s="108" t="s">
        <v>112</v>
      </c>
      <c r="C38" s="74"/>
      <c r="D38" s="173"/>
      <c r="E38" s="172"/>
      <c r="F38" s="139"/>
      <c r="G38" s="107"/>
      <c r="I38" s="71"/>
      <c r="K38" s="101"/>
      <c r="L38" s="101"/>
      <c r="M38" s="101"/>
      <c r="N38" s="76"/>
    </row>
    <row r="39" spans="1:14">
      <c r="B39" s="100" t="s">
        <v>94</v>
      </c>
      <c r="C39" s="74" t="s">
        <v>95</v>
      </c>
      <c r="D39" s="88">
        <v>9.0551825655157945</v>
      </c>
      <c r="E39" s="130">
        <v>8.8691779315451811</v>
      </c>
      <c r="F39" s="129">
        <f>E39-D39</f>
        <v>-0.1860046339706134</v>
      </c>
      <c r="G39" s="86">
        <f t="shared" ref="G39:G45" si="2">IF(ISERROR(E39/D39-1)=TRUE,0,(E39/D39-1))</f>
        <v>-2.0541235102090716E-2</v>
      </c>
      <c r="I39" s="133">
        <v>200</v>
      </c>
      <c r="J39" s="57" t="s">
        <v>96</v>
      </c>
      <c r="K39" s="105">
        <f>D39/100*I39</f>
        <v>18.110365131031589</v>
      </c>
      <c r="L39" s="105">
        <f>E39/100*I39</f>
        <v>17.738355863090362</v>
      </c>
      <c r="M39" s="105">
        <f>L39</f>
        <v>17.738355863090362</v>
      </c>
      <c r="N39" s="76"/>
    </row>
    <row r="40" spans="1:14" ht="15">
      <c r="B40" s="104" t="s">
        <v>97</v>
      </c>
      <c r="C40" s="74" t="s">
        <v>95</v>
      </c>
      <c r="D40" s="103">
        <v>9.8638077248634985</v>
      </c>
      <c r="E40" s="132">
        <v>10.927019266587161</v>
      </c>
      <c r="F40" s="128">
        <f>E40-D40</f>
        <v>1.0632115417236623</v>
      </c>
      <c r="G40" s="83">
        <f t="shared" si="2"/>
        <v>0.10778915925577581</v>
      </c>
      <c r="I40" s="149">
        <f>I39</f>
        <v>200</v>
      </c>
      <c r="J40" s="57" t="s">
        <v>96</v>
      </c>
      <c r="K40" s="102">
        <f>D40/100*I40</f>
        <v>19.727615449726997</v>
      </c>
      <c r="L40" s="102">
        <f>E40/100*I40</f>
        <v>21.854038533174322</v>
      </c>
      <c r="M40" s="102">
        <f>L40</f>
        <v>21.854038533174322</v>
      </c>
      <c r="N40" s="76"/>
    </row>
    <row r="41" spans="1:14">
      <c r="B41" s="100" t="s">
        <v>98</v>
      </c>
      <c r="C41" s="74"/>
      <c r="D41" s="88">
        <f>SUM(D38:D40)</f>
        <v>18.918990290379291</v>
      </c>
      <c r="E41" s="130">
        <f>SUM(E38:E40)</f>
        <v>19.79619719813234</v>
      </c>
      <c r="F41" s="129">
        <f>E41-D41</f>
        <v>0.87720690775304888</v>
      </c>
      <c r="G41" s="86">
        <f t="shared" si="2"/>
        <v>4.6366475921240324E-2</v>
      </c>
      <c r="I41" s="71"/>
      <c r="K41" s="101">
        <f>SUM(K38:K40)</f>
        <v>37.837980580758583</v>
      </c>
      <c r="L41" s="101">
        <f>SUM(L38:L40)</f>
        <v>39.59239439626468</v>
      </c>
      <c r="M41" s="101">
        <f>SUM(M38:M40)</f>
        <v>39.59239439626468</v>
      </c>
      <c r="N41" s="76"/>
    </row>
    <row r="42" spans="1:14" ht="6.6" customHeight="1">
      <c r="B42" s="100"/>
      <c r="C42" s="74"/>
      <c r="D42" s="88"/>
      <c r="E42" s="130"/>
      <c r="F42" s="129"/>
      <c r="G42" s="86">
        <f t="shared" si="2"/>
        <v>0</v>
      </c>
      <c r="I42" s="71"/>
      <c r="K42" s="101"/>
      <c r="L42" s="101"/>
      <c r="M42" s="101"/>
      <c r="N42" s="76"/>
    </row>
    <row r="43" spans="1:14">
      <c r="B43" s="104" t="s">
        <v>99</v>
      </c>
      <c r="C43" s="74" t="s">
        <v>95</v>
      </c>
      <c r="D43" s="88">
        <v>0</v>
      </c>
      <c r="E43" s="130">
        <v>0</v>
      </c>
      <c r="F43" s="129">
        <f>E43-D43</f>
        <v>0</v>
      </c>
      <c r="G43" s="86">
        <f t="shared" si="2"/>
        <v>0</v>
      </c>
      <c r="I43" s="149">
        <f>I40</f>
        <v>200</v>
      </c>
      <c r="J43" s="57" t="s">
        <v>96</v>
      </c>
      <c r="K43" s="105">
        <f>D43/100*I43</f>
        <v>0</v>
      </c>
      <c r="L43" s="105">
        <f>E43/100*I43</f>
        <v>0</v>
      </c>
      <c r="M43" s="105">
        <f>L43</f>
        <v>0</v>
      </c>
      <c r="N43" s="76"/>
    </row>
    <row r="44" spans="1:14" ht="15">
      <c r="B44" s="104" t="s">
        <v>100</v>
      </c>
      <c r="C44" s="74" t="s">
        <v>95</v>
      </c>
      <c r="D44" s="103">
        <v>0.156</v>
      </c>
      <c r="E44" s="132">
        <v>0.156</v>
      </c>
      <c r="F44" s="128">
        <f>E44-D44</f>
        <v>0</v>
      </c>
      <c r="G44" s="83">
        <f t="shared" si="2"/>
        <v>0</v>
      </c>
      <c r="I44" s="149">
        <f>I43</f>
        <v>200</v>
      </c>
      <c r="J44" s="57" t="s">
        <v>96</v>
      </c>
      <c r="K44" s="102">
        <f>D44/100*I44</f>
        <v>0.312</v>
      </c>
      <c r="L44" s="102">
        <f>E44/100*I44</f>
        <v>0.312</v>
      </c>
      <c r="M44" s="102">
        <f>L44</f>
        <v>0.312</v>
      </c>
      <c r="N44" s="76"/>
    </row>
    <row r="45" spans="1:14">
      <c r="B45" s="100" t="s">
        <v>98</v>
      </c>
      <c r="C45" s="74"/>
      <c r="D45" s="88">
        <f>SUM(D43:D44)</f>
        <v>0.156</v>
      </c>
      <c r="E45" s="130">
        <f>SUM(E43:E44)</f>
        <v>0.156</v>
      </c>
      <c r="F45" s="129">
        <f>E45-D45</f>
        <v>0</v>
      </c>
      <c r="G45" s="86">
        <f t="shared" si="2"/>
        <v>0</v>
      </c>
      <c r="I45" s="71"/>
      <c r="K45" s="101">
        <f>SUM(K42:K44)</f>
        <v>0.312</v>
      </c>
      <c r="L45" s="101">
        <f>SUM(L42:L44)</f>
        <v>0.312</v>
      </c>
      <c r="M45" s="101">
        <f>SUM(M42:M44)</f>
        <v>0.312</v>
      </c>
      <c r="N45" s="76"/>
    </row>
    <row r="46" spans="1:14" ht="5.0999999999999996" customHeight="1">
      <c r="B46" s="100"/>
      <c r="C46" s="74"/>
      <c r="D46" s="88"/>
      <c r="E46" s="130"/>
      <c r="F46" s="129"/>
      <c r="G46" s="86"/>
      <c r="I46" s="71"/>
      <c r="K46" s="101"/>
      <c r="L46" s="101"/>
      <c r="M46" s="101"/>
      <c r="N46" s="76"/>
    </row>
    <row r="47" spans="1:14">
      <c r="B47" s="100" t="s">
        <v>101</v>
      </c>
      <c r="C47" s="74" t="s">
        <v>95</v>
      </c>
      <c r="D47" s="88">
        <v>0.77800000000000002</v>
      </c>
      <c r="E47" s="130">
        <v>0.77800000000000002</v>
      </c>
      <c r="F47" s="129">
        <f>E47-D47</f>
        <v>0</v>
      </c>
      <c r="G47" s="86">
        <f>IF(ISERROR(E47/D47-1)=TRUE,0,(E47/D47-1))</f>
        <v>0</v>
      </c>
      <c r="I47" s="149">
        <f>I44</f>
        <v>200</v>
      </c>
      <c r="J47" s="57" t="s">
        <v>96</v>
      </c>
      <c r="K47" s="105">
        <f>D47/100*I47</f>
        <v>1.556</v>
      </c>
      <c r="L47" s="105">
        <f>E47/100*I47</f>
        <v>1.556</v>
      </c>
      <c r="M47" s="105">
        <f>L47</f>
        <v>1.556</v>
      </c>
      <c r="N47" s="76"/>
    </row>
    <row r="48" spans="1:14" ht="15">
      <c r="B48" s="100" t="s">
        <v>102</v>
      </c>
      <c r="C48" s="74" t="s">
        <v>95</v>
      </c>
      <c r="D48" s="85">
        <v>-2.5000000000000001E-2</v>
      </c>
      <c r="E48" s="132">
        <v>-2.5000000000000001E-2</v>
      </c>
      <c r="F48" s="128">
        <f>E48-D48</f>
        <v>0</v>
      </c>
      <c r="G48" s="83">
        <f>IF(ISERROR(E48/D48-1)=TRUE,0,(E48/D48-1))</f>
        <v>0</v>
      </c>
      <c r="I48" s="149">
        <f>I47</f>
        <v>200</v>
      </c>
      <c r="J48" s="57" t="s">
        <v>96</v>
      </c>
      <c r="K48" s="102">
        <f>D48/100*I48</f>
        <v>-0.05</v>
      </c>
      <c r="L48" s="102">
        <f>E48/100*I48</f>
        <v>-0.05</v>
      </c>
      <c r="M48" s="102">
        <f>L48</f>
        <v>-0.05</v>
      </c>
      <c r="N48" s="76"/>
    </row>
    <row r="49" spans="2:14">
      <c r="B49" s="100" t="s">
        <v>98</v>
      </c>
      <c r="C49" s="74"/>
      <c r="D49" s="130">
        <f>SUM(D47:D48)</f>
        <v>0.753</v>
      </c>
      <c r="E49" s="130">
        <f>SUM(E47:E48)</f>
        <v>0.753</v>
      </c>
      <c r="F49" s="129">
        <f>SUM(F47:F48)</f>
        <v>0</v>
      </c>
      <c r="G49" s="86">
        <f>IF(ISERROR(E49/D49-1)=TRUE,0,(E49/D49-1))</f>
        <v>0</v>
      </c>
      <c r="I49" s="71"/>
      <c r="K49" s="101">
        <f>SUM(K46:K48)</f>
        <v>1.506</v>
      </c>
      <c r="L49" s="101">
        <f>SUM(L46:L48)</f>
        <v>1.506</v>
      </c>
      <c r="M49" s="101">
        <f>SUM(M46:M48)</f>
        <v>1.506</v>
      </c>
      <c r="N49" s="76"/>
    </row>
    <row r="50" spans="2:14" ht="4.5" customHeight="1">
      <c r="B50" s="90"/>
      <c r="C50" s="74"/>
      <c r="D50" s="103"/>
      <c r="E50" s="130"/>
      <c r="F50" s="128"/>
      <c r="G50" s="83"/>
      <c r="I50" s="71"/>
      <c r="K50" s="101"/>
      <c r="L50" s="101"/>
      <c r="M50" s="101"/>
      <c r="N50" s="76"/>
    </row>
    <row r="51" spans="2:14">
      <c r="B51" s="104" t="s">
        <v>103</v>
      </c>
      <c r="C51" s="74" t="s">
        <v>95</v>
      </c>
      <c r="D51" s="88">
        <v>0</v>
      </c>
      <c r="E51" s="88">
        <v>0</v>
      </c>
      <c r="F51" s="129">
        <f>E51-D51</f>
        <v>0</v>
      </c>
      <c r="G51" s="86">
        <f>IF(ISERROR(E51/D51-1)=TRUE,0,(E51/D51-1))</f>
        <v>0</v>
      </c>
      <c r="I51" s="149">
        <f>I48</f>
        <v>200</v>
      </c>
      <c r="J51" s="57" t="s">
        <v>96</v>
      </c>
      <c r="K51" s="101">
        <f>D51/100*I51</f>
        <v>0</v>
      </c>
      <c r="L51" s="101">
        <f>E51/100*I51</f>
        <v>0</v>
      </c>
      <c r="M51" s="101">
        <f>L51</f>
        <v>0</v>
      </c>
      <c r="N51" s="76"/>
    </row>
    <row r="52" spans="2:14">
      <c r="B52" s="99" t="s">
        <v>104</v>
      </c>
      <c r="C52" s="98" t="s">
        <v>95</v>
      </c>
      <c r="D52" s="97"/>
      <c r="E52" s="152">
        <f>HLOOKUP('Bill Impacts'!$J$16,'Fee Impact'!$C$123:$H$135,3,FALSE)</f>
        <v>0.19068410091693691</v>
      </c>
      <c r="F52" s="151"/>
      <c r="G52" s="95"/>
      <c r="H52" s="93"/>
      <c r="I52" s="150">
        <f>I51</f>
        <v>200</v>
      </c>
      <c r="J52" s="93" t="s">
        <v>96</v>
      </c>
      <c r="K52" s="91"/>
      <c r="L52" s="91"/>
      <c r="M52" s="91">
        <f>E52/100*I52</f>
        <v>0.38136820183387382</v>
      </c>
      <c r="N52" s="76"/>
    </row>
    <row r="53" spans="2:14">
      <c r="B53" s="75" t="s">
        <v>105</v>
      </c>
      <c r="C53" s="74" t="s">
        <v>95</v>
      </c>
      <c r="D53" s="88">
        <f>D39+D45</f>
        <v>9.2111825655157951</v>
      </c>
      <c r="E53" s="88">
        <f>E39+E45</f>
        <v>9.0251779315451817</v>
      </c>
      <c r="F53" s="129">
        <f>E53-D53</f>
        <v>-0.1860046339706134</v>
      </c>
      <c r="G53" s="86">
        <f>IF(ISERROR(E53/D53-1)=TRUE,0,(E53/D53-1))</f>
        <v>-2.0193350055503712E-2</v>
      </c>
      <c r="I53" s="149"/>
      <c r="K53" s="105">
        <f>K39+K45</f>
        <v>18.42236513103159</v>
      </c>
      <c r="L53" s="105">
        <f>L39+L45</f>
        <v>18.050355863090363</v>
      </c>
      <c r="M53" s="105">
        <f>M39+M45</f>
        <v>18.050355863090363</v>
      </c>
      <c r="N53" s="76"/>
    </row>
    <row r="54" spans="2:14" ht="15">
      <c r="B54" s="75" t="s">
        <v>106</v>
      </c>
      <c r="C54" s="74" t="s">
        <v>95</v>
      </c>
      <c r="D54" s="85">
        <f>D40+D49+D51</f>
        <v>10.616807724863499</v>
      </c>
      <c r="E54" s="85">
        <f>E40+E49+E51</f>
        <v>11.680019266587161</v>
      </c>
      <c r="F54" s="128">
        <f>E54-D54</f>
        <v>1.0632115417236623</v>
      </c>
      <c r="G54" s="83">
        <f>IF(ISERROR(E54/D54-1)=TRUE,0,(E54/D54-1))</f>
        <v>0.10014418356976806</v>
      </c>
      <c r="I54" s="149"/>
      <c r="K54" s="102">
        <f>K40+K49+K51</f>
        <v>21.233615449726997</v>
      </c>
      <c r="L54" s="102">
        <f>L40+L49+L51</f>
        <v>23.360038533174322</v>
      </c>
      <c r="M54" s="102">
        <f>M40+M49+M52</f>
        <v>23.741406735008194</v>
      </c>
      <c r="N54" s="76"/>
    </row>
    <row r="55" spans="2:14">
      <c r="B55" s="78" t="s">
        <v>113</v>
      </c>
      <c r="C55" s="74" t="s">
        <v>95</v>
      </c>
      <c r="D55" s="127">
        <f>D53+D54</f>
        <v>19.827990290379294</v>
      </c>
      <c r="E55" s="127">
        <f>E53+E54</f>
        <v>20.705197198132343</v>
      </c>
      <c r="F55" s="127">
        <f>F41+F45+F49+F51</f>
        <v>0.87720690775304888</v>
      </c>
      <c r="G55" s="72">
        <f>IF(ISERROR(E55/D55-1)=TRUE,0,(E55/D55-1))</f>
        <v>4.4240838073169586E-2</v>
      </c>
      <c r="I55" s="149"/>
      <c r="K55" s="110">
        <f>K53+K54</f>
        <v>39.655980580758587</v>
      </c>
      <c r="L55" s="110">
        <f>L53+L54</f>
        <v>41.410394396264685</v>
      </c>
      <c r="M55" s="110">
        <f>M53+M54</f>
        <v>41.791762598098558</v>
      </c>
      <c r="N55" s="76"/>
    </row>
    <row r="56" spans="2:14" ht="7.35" customHeight="1">
      <c r="B56" s="104"/>
      <c r="C56" s="74"/>
      <c r="D56" s="88"/>
      <c r="E56" s="130"/>
      <c r="F56" s="129"/>
      <c r="G56" s="86"/>
      <c r="I56" s="71"/>
      <c r="K56" s="101"/>
      <c r="L56" s="101"/>
      <c r="M56" s="101"/>
      <c r="N56" s="76"/>
    </row>
    <row r="57" spans="2:14" ht="15">
      <c r="B57" s="108" t="s">
        <v>114</v>
      </c>
      <c r="C57" s="74"/>
      <c r="D57" s="88"/>
      <c r="E57" s="130"/>
      <c r="F57" s="129"/>
      <c r="G57" s="107"/>
      <c r="I57" s="71"/>
      <c r="K57" s="101"/>
      <c r="L57" s="101"/>
      <c r="M57" s="101"/>
      <c r="N57" s="76"/>
    </row>
    <row r="58" spans="2:14">
      <c r="B58" s="100" t="s">
        <v>94</v>
      </c>
      <c r="C58" s="74" t="s">
        <v>95</v>
      </c>
      <c r="D58" s="88">
        <v>9.0551825655157945</v>
      </c>
      <c r="E58" s="130">
        <f>E$39</f>
        <v>8.8691779315451811</v>
      </c>
      <c r="F58" s="129">
        <f>E58-D58</f>
        <v>-0.1860046339706134</v>
      </c>
      <c r="G58" s="86">
        <f>IF(ISERROR(E58/D58-1)=TRUE,0,(E58/D58-1))</f>
        <v>-2.0541235102090716E-2</v>
      </c>
      <c r="I58" s="149">
        <v>877.90058925308836</v>
      </c>
      <c r="J58" s="57" t="s">
        <v>96</v>
      </c>
      <c r="K58" s="105">
        <f>D58/100*I58</f>
        <v>79.495501100606077</v>
      </c>
      <c r="L58" s="105">
        <f>E58/100*I58</f>
        <v>77.862565322940029</v>
      </c>
      <c r="M58" s="105">
        <f>L58</f>
        <v>77.862565322940029</v>
      </c>
      <c r="N58" s="76"/>
    </row>
    <row r="59" spans="2:14" ht="15">
      <c r="B59" s="104" t="s">
        <v>97</v>
      </c>
      <c r="C59" s="74" t="s">
        <v>95</v>
      </c>
      <c r="D59" s="103">
        <v>8.0564900886517776</v>
      </c>
      <c r="E59" s="132">
        <v>8.9248923818600439</v>
      </c>
      <c r="F59" s="128">
        <f>E59-D59</f>
        <v>0.86840229320826623</v>
      </c>
      <c r="G59" s="83">
        <f>IF(ISERROR(E59/D59-1)=TRUE,0,(E59/D59-1))</f>
        <v>0.10778915925577581</v>
      </c>
      <c r="I59" s="149">
        <f>I58</f>
        <v>877.90058925308836</v>
      </c>
      <c r="J59" s="57" t="s">
        <v>96</v>
      </c>
      <c r="K59" s="102">
        <f>D59/100*I59</f>
        <v>70.727973961390617</v>
      </c>
      <c r="L59" s="102">
        <f>E59/100*I59</f>
        <v>78.351682810553328</v>
      </c>
      <c r="M59" s="102">
        <f>L59</f>
        <v>78.351682810553328</v>
      </c>
      <c r="N59" s="76"/>
    </row>
    <row r="60" spans="2:14">
      <c r="B60" s="100" t="s">
        <v>98</v>
      </c>
      <c r="C60" s="74"/>
      <c r="D60" s="88">
        <f>SUM(D57:D59)</f>
        <v>17.11167265416757</v>
      </c>
      <c r="E60" s="130">
        <f>SUM(E57:E59)</f>
        <v>17.794070313405225</v>
      </c>
      <c r="F60" s="129">
        <f>E60-D60</f>
        <v>0.68239765923765461</v>
      </c>
      <c r="G60" s="86">
        <f>IF(ISERROR(E60/D60-1)=TRUE,0,(E60/D60-1))</f>
        <v>3.9879073953150712E-2</v>
      </c>
      <c r="I60" s="71"/>
      <c r="K60" s="101">
        <f>SUM(K57:K59)</f>
        <v>150.22347506199668</v>
      </c>
      <c r="L60" s="101">
        <f>SUM(L57:L59)</f>
        <v>156.21424813349336</v>
      </c>
      <c r="M60" s="101">
        <f>SUM(M57:M59)</f>
        <v>156.21424813349336</v>
      </c>
      <c r="N60" s="76"/>
    </row>
    <row r="61" spans="2:14" ht="7.35" customHeight="1">
      <c r="B61" s="100"/>
      <c r="C61" s="74"/>
      <c r="D61" s="88"/>
      <c r="E61" s="130"/>
      <c r="F61" s="129"/>
      <c r="G61" s="86"/>
      <c r="I61" s="71"/>
      <c r="K61" s="101"/>
      <c r="L61" s="101"/>
      <c r="M61" s="101"/>
      <c r="N61" s="76"/>
    </row>
    <row r="62" spans="2:14">
      <c r="B62" s="104" t="s">
        <v>99</v>
      </c>
      <c r="C62" s="74" t="s">
        <v>95</v>
      </c>
      <c r="D62" s="88">
        <v>0</v>
      </c>
      <c r="E62" s="130">
        <f>E$43</f>
        <v>0</v>
      </c>
      <c r="F62" s="129">
        <f>E62-D62</f>
        <v>0</v>
      </c>
      <c r="G62" s="86">
        <f>IF(ISERROR(E62/D62-1)=TRUE,0,(E62/D62-1))</f>
        <v>0</v>
      </c>
      <c r="I62" s="149">
        <f>I59</f>
        <v>877.90058925308836</v>
      </c>
      <c r="J62" s="57" t="s">
        <v>96</v>
      </c>
      <c r="K62" s="105">
        <f>D62/100*I62</f>
        <v>0</v>
      </c>
      <c r="L62" s="105">
        <f>E62/100*I62</f>
        <v>0</v>
      </c>
      <c r="M62" s="105"/>
      <c r="N62" s="76"/>
    </row>
    <row r="63" spans="2:14" ht="15">
      <c r="B63" s="104" t="s">
        <v>100</v>
      </c>
      <c r="C63" s="74" t="s">
        <v>95</v>
      </c>
      <c r="D63" s="103">
        <v>0.156</v>
      </c>
      <c r="E63" s="132">
        <f>E$44</f>
        <v>0.156</v>
      </c>
      <c r="F63" s="128">
        <f>E63-D63</f>
        <v>0</v>
      </c>
      <c r="G63" s="83">
        <f>IF(ISERROR(E63/D63-1)=TRUE,0,(E63/D63-1))</f>
        <v>0</v>
      </c>
      <c r="I63" s="149">
        <f>I62</f>
        <v>877.90058925308836</v>
      </c>
      <c r="J63" s="57" t="s">
        <v>96</v>
      </c>
      <c r="K63" s="102">
        <f>D63/100*I63</f>
        <v>1.3695249192348178</v>
      </c>
      <c r="L63" s="102">
        <f>E63/100*I63</f>
        <v>1.3695249192348178</v>
      </c>
      <c r="M63" s="102">
        <f>L63</f>
        <v>1.3695249192348178</v>
      </c>
      <c r="N63" s="76"/>
    </row>
    <row r="64" spans="2:14">
      <c r="B64" s="100" t="s">
        <v>98</v>
      </c>
      <c r="C64" s="74"/>
      <c r="D64" s="88">
        <f>SUM(D62:D63)</f>
        <v>0.156</v>
      </c>
      <c r="E64" s="130">
        <f>SUM(E61:E63)</f>
        <v>0.156</v>
      </c>
      <c r="F64" s="129">
        <f>E64-D64</f>
        <v>0</v>
      </c>
      <c r="G64" s="86">
        <f>IF(ISERROR(E64/D64-1)=TRUE,0,(E64/D64-1))</f>
        <v>0</v>
      </c>
      <c r="I64" s="71"/>
      <c r="K64" s="101">
        <f>SUM(K61:K63)</f>
        <v>1.3695249192348178</v>
      </c>
      <c r="L64" s="101">
        <f>SUM(L61:L63)</f>
        <v>1.3695249192348178</v>
      </c>
      <c r="M64" s="101">
        <f>SUM(M61:M63)</f>
        <v>1.3695249192348178</v>
      </c>
      <c r="N64" s="76"/>
    </row>
    <row r="65" spans="2:14" ht="4.3499999999999996" customHeight="1">
      <c r="B65" s="100"/>
      <c r="C65" s="74"/>
      <c r="D65" s="88"/>
      <c r="E65" s="130"/>
      <c r="F65" s="129"/>
      <c r="G65" s="86"/>
      <c r="I65" s="71"/>
      <c r="K65" s="101"/>
      <c r="L65" s="101"/>
      <c r="M65" s="101"/>
      <c r="N65" s="76"/>
    </row>
    <row r="66" spans="2:14">
      <c r="B66" s="100" t="s">
        <v>101</v>
      </c>
      <c r="C66" s="74" t="s">
        <v>95</v>
      </c>
      <c r="D66" s="130">
        <v>0.77800000000000002</v>
      </c>
      <c r="E66" s="130">
        <f>E$47</f>
        <v>0.77800000000000002</v>
      </c>
      <c r="F66" s="129">
        <f>E66-D66</f>
        <v>0</v>
      </c>
      <c r="G66" s="86">
        <f>IF(ISERROR(E66/D66-1)=TRUE,0,(E66/D66-1))</f>
        <v>0</v>
      </c>
      <c r="I66" s="149">
        <f>I63</f>
        <v>877.90058925308836</v>
      </c>
      <c r="J66" s="57" t="s">
        <v>96</v>
      </c>
      <c r="K66" s="105">
        <f>D66/100*I66</f>
        <v>6.8300665843890283</v>
      </c>
      <c r="L66" s="105">
        <f>E66/100*I66</f>
        <v>6.8300665843890283</v>
      </c>
      <c r="M66" s="105">
        <f>L66</f>
        <v>6.8300665843890283</v>
      </c>
      <c r="N66" s="76"/>
    </row>
    <row r="67" spans="2:14" ht="15">
      <c r="B67" s="100" t="s">
        <v>102</v>
      </c>
      <c r="C67" s="74" t="s">
        <v>95</v>
      </c>
      <c r="D67" s="131">
        <v>-2.5000000000000001E-2</v>
      </c>
      <c r="E67" s="131">
        <f>E$48</f>
        <v>-2.5000000000000001E-2</v>
      </c>
      <c r="F67" s="128">
        <f>E67-D67</f>
        <v>0</v>
      </c>
      <c r="G67" s="83">
        <f>IF(ISERROR(E67/D67-1)=TRUE,0,(E67/D67-1))</f>
        <v>0</v>
      </c>
      <c r="I67" s="149">
        <f>I66</f>
        <v>877.90058925308836</v>
      </c>
      <c r="J67" s="57" t="s">
        <v>96</v>
      </c>
      <c r="K67" s="102">
        <f>D67/100*I67</f>
        <v>-0.21947514731327208</v>
      </c>
      <c r="L67" s="102">
        <f>E67/100*I67</f>
        <v>-0.21947514731327208</v>
      </c>
      <c r="M67" s="102">
        <f>L67</f>
        <v>-0.21947514731327208</v>
      </c>
      <c r="N67" s="76"/>
    </row>
    <row r="68" spans="2:14">
      <c r="B68" s="100" t="s">
        <v>98</v>
      </c>
      <c r="C68" s="74"/>
      <c r="D68" s="130">
        <f>SUM(D66:D67)</f>
        <v>0.753</v>
      </c>
      <c r="E68" s="130">
        <f>SUM(E66:E67)</f>
        <v>0.753</v>
      </c>
      <c r="F68" s="129">
        <f>SUM(F66:F67)</f>
        <v>0</v>
      </c>
      <c r="G68" s="86">
        <f>IF(ISERROR(E68/D68-1)=TRUE,0,(E68/D68-1))</f>
        <v>0</v>
      </c>
      <c r="I68" s="71"/>
      <c r="K68" s="101">
        <f>SUM(K65:K67)</f>
        <v>6.6105914370757564</v>
      </c>
      <c r="L68" s="101">
        <f>SUM(L65:L67)</f>
        <v>6.6105914370757564</v>
      </c>
      <c r="M68" s="101">
        <f>SUM(M65:M67)</f>
        <v>6.6105914370757564</v>
      </c>
      <c r="N68" s="76"/>
    </row>
    <row r="69" spans="2:14" ht="5.0999999999999996" customHeight="1">
      <c r="B69" s="90"/>
      <c r="C69" s="74"/>
      <c r="D69" s="103"/>
      <c r="E69" s="132"/>
      <c r="F69" s="128"/>
      <c r="G69" s="83"/>
      <c r="I69" s="71"/>
      <c r="K69" s="101"/>
      <c r="L69" s="101"/>
      <c r="M69" s="101"/>
      <c r="N69" s="76"/>
    </row>
    <row r="70" spans="2:14" ht="12.6" customHeight="1">
      <c r="B70" s="104" t="s">
        <v>103</v>
      </c>
      <c r="C70" s="74" t="s">
        <v>95</v>
      </c>
      <c r="D70" s="130">
        <v>0</v>
      </c>
      <c r="E70" s="130">
        <f>E$51</f>
        <v>0</v>
      </c>
      <c r="F70" s="129">
        <f>E70-D70</f>
        <v>0</v>
      </c>
      <c r="G70" s="86">
        <f>IF(ISERROR(E70/D70-1)=TRUE,0,(E70/D70-1))</f>
        <v>0</v>
      </c>
      <c r="I70" s="149">
        <f>I67</f>
        <v>877.90058925308836</v>
      </c>
      <c r="J70" s="57" t="s">
        <v>96</v>
      </c>
      <c r="K70" s="101">
        <f>D70/100*I70</f>
        <v>0</v>
      </c>
      <c r="L70" s="101">
        <f>E70/100*I70</f>
        <v>0</v>
      </c>
      <c r="M70" s="101"/>
      <c r="N70" s="76"/>
    </row>
    <row r="71" spans="2:14">
      <c r="B71" s="99" t="s">
        <v>104</v>
      </c>
      <c r="C71" s="98"/>
      <c r="D71" s="97"/>
      <c r="E71" s="152">
        <f>HLOOKUP('Bill Impacts'!$J$16,'Fee Impact'!$C$123:$H$135,3,FALSE)</f>
        <v>0.19068410091693691</v>
      </c>
      <c r="F71" s="151"/>
      <c r="G71" s="95"/>
      <c r="H71" s="93"/>
      <c r="I71" s="150">
        <f>I70</f>
        <v>877.90058925308836</v>
      </c>
      <c r="J71" s="93" t="s">
        <v>96</v>
      </c>
      <c r="K71" s="91"/>
      <c r="L71" s="91"/>
      <c r="M71" s="91">
        <f>E71/100*I71</f>
        <v>1.6740168455617428</v>
      </c>
      <c r="N71" s="76"/>
    </row>
    <row r="72" spans="2:14" ht="10.5" customHeight="1">
      <c r="B72" s="75" t="s">
        <v>105</v>
      </c>
      <c r="C72" s="74" t="s">
        <v>95</v>
      </c>
      <c r="D72" s="88">
        <f>D58+D64</f>
        <v>9.2111825655157951</v>
      </c>
      <c r="E72" s="88">
        <f>E58+E64</f>
        <v>9.0251779315451817</v>
      </c>
      <c r="F72" s="129">
        <f>E72-D72</f>
        <v>-0.1860046339706134</v>
      </c>
      <c r="G72" s="86">
        <f>IF(ISERROR(E72/D72-1)=TRUE,0,(E72/D72-1))</f>
        <v>-2.0193350055503712E-2</v>
      </c>
      <c r="I72" s="149"/>
      <c r="K72" s="105">
        <f>K58+K64</f>
        <v>80.865026019840897</v>
      </c>
      <c r="L72" s="105">
        <f>L58+L64</f>
        <v>79.232090242174849</v>
      </c>
      <c r="M72" s="105">
        <f>M58+M64</f>
        <v>79.232090242174849</v>
      </c>
      <c r="N72" s="86"/>
    </row>
    <row r="73" spans="2:14" ht="12" customHeight="1">
      <c r="B73" s="75" t="s">
        <v>106</v>
      </c>
      <c r="C73" s="74" t="s">
        <v>95</v>
      </c>
      <c r="D73" s="85">
        <f>D59+D68+D70</f>
        <v>8.8094900886517777</v>
      </c>
      <c r="E73" s="85">
        <f>E59+E68+E70</f>
        <v>9.677892381860044</v>
      </c>
      <c r="F73" s="128">
        <f>E73-D73</f>
        <v>0.86840229320826623</v>
      </c>
      <c r="G73" s="83">
        <f>IF(ISERROR(E73/D73-1)=TRUE,0,(E73/D73-1))</f>
        <v>9.8575772771108072E-2</v>
      </c>
      <c r="I73" s="149"/>
      <c r="K73" s="102">
        <f>K59+K68+K70</f>
        <v>77.338565398466372</v>
      </c>
      <c r="L73" s="102">
        <f>L59+L68+L70</f>
        <v>84.962274247629082</v>
      </c>
      <c r="M73" s="102">
        <f>M59+M68+M70+M71</f>
        <v>86.63629109319082</v>
      </c>
      <c r="N73" s="83"/>
    </row>
    <row r="74" spans="2:14">
      <c r="B74" s="78" t="s">
        <v>113</v>
      </c>
      <c r="C74" s="74" t="s">
        <v>95</v>
      </c>
      <c r="D74" s="127">
        <f>D72+D73</f>
        <v>18.020672654167573</v>
      </c>
      <c r="E74" s="127">
        <f>E72+E73</f>
        <v>18.703070313405227</v>
      </c>
      <c r="F74" s="127">
        <f>F60+F64+F68+F70</f>
        <v>0.68239765923765461</v>
      </c>
      <c r="G74" s="72">
        <f>IF(ISERROR(E74/D74-1)=TRUE,0,(E74/D74-1))</f>
        <v>3.7867490982909535E-2</v>
      </c>
      <c r="I74" s="71"/>
      <c r="K74" s="101">
        <f>K72+K73</f>
        <v>158.20359141830727</v>
      </c>
      <c r="L74" s="101">
        <f>L72+L73</f>
        <v>164.19436448980395</v>
      </c>
      <c r="M74" s="101">
        <f>M72+M73</f>
        <v>165.86838133536565</v>
      </c>
      <c r="N74" s="69"/>
    </row>
    <row r="75" spans="2:14">
      <c r="B75" s="78"/>
      <c r="C75" s="74"/>
      <c r="D75" s="127"/>
      <c r="E75" s="127"/>
      <c r="F75" s="127"/>
      <c r="G75" s="72"/>
      <c r="I75" s="71"/>
      <c r="K75" s="110"/>
      <c r="L75" s="110"/>
      <c r="M75" s="110"/>
      <c r="N75" s="164"/>
    </row>
    <row r="76" spans="2:14" hidden="1">
      <c r="B76" s="78"/>
      <c r="C76" s="74"/>
      <c r="D76" s="127"/>
      <c r="E76" s="127"/>
      <c r="F76" s="127"/>
      <c r="G76" s="72"/>
      <c r="I76" s="71"/>
      <c r="K76" s="110"/>
      <c r="L76" s="110"/>
      <c r="M76" s="110"/>
      <c r="N76" s="164"/>
    </row>
    <row r="77" spans="2:14">
      <c r="B77" s="78" t="s">
        <v>108</v>
      </c>
      <c r="C77" s="74"/>
      <c r="D77" s="127"/>
      <c r="E77" s="127"/>
      <c r="F77" s="127"/>
      <c r="G77" s="72"/>
      <c r="I77" s="71"/>
      <c r="K77" s="77"/>
      <c r="L77" s="77"/>
      <c r="M77" s="77"/>
      <c r="N77" s="76"/>
    </row>
    <row r="78" spans="2:14">
      <c r="B78" s="75" t="s">
        <v>109</v>
      </c>
      <c r="C78" s="74"/>
      <c r="D78" s="127"/>
      <c r="E78" s="127"/>
      <c r="F78" s="127"/>
      <c r="G78" s="72"/>
      <c r="I78" s="71"/>
      <c r="K78" s="105">
        <f>K35</f>
        <v>21.99531132340103</v>
      </c>
      <c r="L78" s="105">
        <f>L35</f>
        <v>22.734667303258153</v>
      </c>
      <c r="M78" s="105">
        <f>M35</f>
        <v>22.734667303258153</v>
      </c>
      <c r="N78" s="164"/>
    </row>
    <row r="79" spans="2:14">
      <c r="B79" s="75" t="s">
        <v>105</v>
      </c>
      <c r="C79" s="74"/>
      <c r="D79" s="127"/>
      <c r="E79" s="127"/>
      <c r="F79" s="127"/>
      <c r="G79" s="72"/>
      <c r="I79" s="71"/>
      <c r="K79" s="105">
        <f t="shared" ref="K79:M80" si="3">K53+K72</f>
        <v>99.28739115087248</v>
      </c>
      <c r="L79" s="105">
        <f t="shared" si="3"/>
        <v>97.282446105265208</v>
      </c>
      <c r="M79" s="105">
        <f t="shared" si="3"/>
        <v>97.282446105265208</v>
      </c>
      <c r="N79" s="164"/>
    </row>
    <row r="80" spans="2:14" ht="15">
      <c r="B80" s="75" t="s">
        <v>106</v>
      </c>
      <c r="C80" s="74"/>
      <c r="D80" s="127"/>
      <c r="E80" s="127"/>
      <c r="F80" s="127"/>
      <c r="G80" s="72"/>
      <c r="I80" s="71"/>
      <c r="K80" s="165">
        <f t="shared" si="3"/>
        <v>98.572180848193369</v>
      </c>
      <c r="L80" s="165">
        <f t="shared" si="3"/>
        <v>108.3223127808034</v>
      </c>
      <c r="M80" s="165">
        <f t="shared" si="3"/>
        <v>110.37769782819902</v>
      </c>
      <c r="N80" s="164"/>
    </row>
    <row r="81" spans="1:14">
      <c r="B81" s="78" t="s">
        <v>110</v>
      </c>
      <c r="C81" s="74"/>
      <c r="D81" s="127"/>
      <c r="E81" s="127"/>
      <c r="F81" s="127"/>
      <c r="G81" s="72"/>
      <c r="I81" s="71"/>
      <c r="K81" s="110">
        <f>K35+K79+K80</f>
        <v>219.85488332246689</v>
      </c>
      <c r="L81" s="110">
        <f>L35+L79+L80</f>
        <v>228.33942618932676</v>
      </c>
      <c r="M81" s="110">
        <f>M35+M79+M80</f>
        <v>230.39481123672238</v>
      </c>
      <c r="N81" s="147">
        <f>M81/L81-1</f>
        <v>9.0014461440022231E-3</v>
      </c>
    </row>
    <row r="82" spans="1:14" ht="6" customHeight="1">
      <c r="B82" s="78"/>
      <c r="C82" s="74"/>
      <c r="D82" s="73"/>
      <c r="E82" s="127"/>
      <c r="F82" s="153"/>
      <c r="G82" s="72"/>
      <c r="I82" s="146"/>
      <c r="J82" s="145"/>
      <c r="K82" s="171"/>
      <c r="L82" s="171"/>
      <c r="M82" s="171"/>
      <c r="N82" s="143"/>
    </row>
    <row r="83" spans="1:14" ht="32.85" customHeight="1">
      <c r="A83" s="170">
        <v>3</v>
      </c>
      <c r="B83" s="138" t="s">
        <v>115</v>
      </c>
      <c r="C83" s="137"/>
      <c r="D83" s="136"/>
      <c r="E83" s="136"/>
      <c r="F83" s="135"/>
      <c r="G83" s="134"/>
      <c r="I83" s="71"/>
      <c r="K83" s="101"/>
      <c r="L83" s="101"/>
      <c r="M83" s="101"/>
      <c r="N83" s="76"/>
    </row>
    <row r="84" spans="1:14" ht="7.35" customHeight="1">
      <c r="A84" s="170"/>
      <c r="B84" s="117"/>
      <c r="C84" s="74"/>
      <c r="D84" s="88"/>
      <c r="E84" s="88"/>
      <c r="F84" s="87"/>
      <c r="G84" s="86"/>
      <c r="I84" s="71"/>
      <c r="K84" s="101"/>
      <c r="L84" s="101"/>
      <c r="M84" s="101"/>
      <c r="N84" s="76"/>
    </row>
    <row r="85" spans="1:14" ht="15">
      <c r="B85" s="108" t="s">
        <v>80</v>
      </c>
      <c r="C85" s="74" t="s">
        <v>116</v>
      </c>
      <c r="D85" s="73">
        <v>9.8091510797222021</v>
      </c>
      <c r="E85" s="127">
        <v>10.697094044128949</v>
      </c>
      <c r="F85" s="153">
        <f>E85-D85</f>
        <v>0.88794296440674714</v>
      </c>
      <c r="G85" s="72">
        <f>IF(ISERROR(E85/D85-1)=TRUE,0,(E85/D85-1))</f>
        <v>9.0521897072452173E-2</v>
      </c>
      <c r="I85" s="169">
        <v>44.399013694966911</v>
      </c>
      <c r="J85" s="57" t="s">
        <v>117</v>
      </c>
      <c r="K85" s="101">
        <f>D85*I85</f>
        <v>435.5166331245855</v>
      </c>
      <c r="L85" s="101">
        <f>E85*I85</f>
        <v>474.94042496163019</v>
      </c>
      <c r="M85" s="101">
        <f>L85</f>
        <v>474.94042496163019</v>
      </c>
      <c r="N85" s="76"/>
    </row>
    <row r="86" spans="1:14" ht="5.85" customHeight="1">
      <c r="B86" s="104"/>
      <c r="C86" s="74"/>
      <c r="D86" s="73"/>
      <c r="E86" s="127"/>
      <c r="F86" s="129"/>
      <c r="G86" s="107"/>
      <c r="I86" s="71"/>
      <c r="K86" s="101"/>
      <c r="L86" s="101"/>
      <c r="M86" s="101"/>
      <c r="N86" s="76"/>
    </row>
    <row r="87" spans="1:14" ht="15">
      <c r="B87" s="108" t="s">
        <v>118</v>
      </c>
      <c r="C87" s="74" t="s">
        <v>119</v>
      </c>
      <c r="D87" s="73">
        <v>-32</v>
      </c>
      <c r="E87" s="127">
        <v>-32</v>
      </c>
      <c r="F87" s="153">
        <f>E87-D87</f>
        <v>0</v>
      </c>
      <c r="G87" s="72">
        <f>IF(ISERROR(E87/D87-1)=TRUE,0,(E87/D87-1))</f>
        <v>0</v>
      </c>
      <c r="I87" s="71"/>
      <c r="K87" s="101"/>
      <c r="L87" s="101"/>
      <c r="M87" s="101"/>
      <c r="N87" s="76"/>
    </row>
    <row r="88" spans="1:14" ht="8.85" customHeight="1">
      <c r="B88" s="104"/>
      <c r="C88" s="74"/>
      <c r="D88" s="73"/>
      <c r="E88" s="73"/>
      <c r="F88" s="87"/>
      <c r="G88" s="86"/>
      <c r="I88" s="71"/>
      <c r="K88" s="101"/>
      <c r="L88" s="101"/>
      <c r="M88" s="101"/>
      <c r="N88" s="76"/>
    </row>
    <row r="89" spans="1:14" ht="15">
      <c r="B89" s="113" t="s">
        <v>77</v>
      </c>
      <c r="C89" s="74"/>
      <c r="D89" s="73"/>
      <c r="E89" s="127"/>
      <c r="F89" s="129"/>
      <c r="G89" s="107"/>
      <c r="I89" s="71"/>
      <c r="K89" s="101"/>
      <c r="L89" s="101"/>
      <c r="M89" s="101"/>
      <c r="N89" s="76"/>
    </row>
    <row r="90" spans="1:14" ht="15">
      <c r="B90" s="108" t="s">
        <v>120</v>
      </c>
      <c r="C90" s="74"/>
      <c r="D90" s="88"/>
      <c r="E90" s="130"/>
      <c r="F90" s="129"/>
      <c r="G90" s="107"/>
      <c r="I90" s="71"/>
      <c r="K90" s="101"/>
      <c r="L90" s="101"/>
      <c r="M90" s="101"/>
      <c r="N90" s="76"/>
    </row>
    <row r="91" spans="1:14">
      <c r="B91" s="100" t="s">
        <v>94</v>
      </c>
      <c r="C91" s="74" t="s">
        <v>95</v>
      </c>
      <c r="D91" s="88">
        <v>8.9593486247305272</v>
      </c>
      <c r="E91" s="130">
        <v>8.4823638266646544</v>
      </c>
      <c r="F91" s="129">
        <f>E91-D91</f>
        <v>-0.47698479806587279</v>
      </c>
      <c r="G91" s="86">
        <f>IF(ISERROR(E91/D91-1)=TRUE,0,(E91/D91-1))</f>
        <v>-5.323878085838174E-2</v>
      </c>
      <c r="I91" s="133">
        <f>I85*0.9*200</f>
        <v>7991.8224650940447</v>
      </c>
      <c r="J91" s="57" t="s">
        <v>96</v>
      </c>
      <c r="K91" s="105">
        <f>D91/100*I91</f>
        <v>716.01523611730863</v>
      </c>
      <c r="L91" s="105">
        <f>E91/100*I91</f>
        <v>677.89545787039674</v>
      </c>
      <c r="M91" s="105">
        <f>L91</f>
        <v>677.89545787039674</v>
      </c>
      <c r="N91" s="76"/>
    </row>
    <row r="92" spans="1:14" ht="15">
      <c r="B92" s="104" t="s">
        <v>97</v>
      </c>
      <c r="C92" s="74" t="s">
        <v>95</v>
      </c>
      <c r="D92" s="103">
        <v>5.8229356816532745</v>
      </c>
      <c r="E92" s="132">
        <v>6.3500388660874014</v>
      </c>
      <c r="F92" s="128">
        <f>E92-D92</f>
        <v>0.52710318443412696</v>
      </c>
      <c r="G92" s="83">
        <f>IF(ISERROR(E92/D92-1)=TRUE,0,(E92/D92-1))</f>
        <v>9.0521897072452173E-2</v>
      </c>
      <c r="I92" s="149">
        <f>I91</f>
        <v>7991.8224650940447</v>
      </c>
      <c r="J92" s="57" t="s">
        <v>96</v>
      </c>
      <c r="K92" s="102">
        <f>D92/100*I92</f>
        <v>465.35868193434345</v>
      </c>
      <c r="L92" s="102">
        <f>E92/100*I92</f>
        <v>507.48383264217608</v>
      </c>
      <c r="M92" s="102">
        <f>L92</f>
        <v>507.48383264217608</v>
      </c>
      <c r="N92" s="76"/>
    </row>
    <row r="93" spans="1:14">
      <c r="B93" s="100" t="s">
        <v>98</v>
      </c>
      <c r="C93" s="74"/>
      <c r="D93" s="88">
        <f>SUM(D90:D92)</f>
        <v>14.782284306383801</v>
      </c>
      <c r="E93" s="130">
        <f>SUM(E90:E92)</f>
        <v>14.832402692752055</v>
      </c>
      <c r="F93" s="129">
        <f>E93-D93</f>
        <v>5.0118386368254164E-2</v>
      </c>
      <c r="G93" s="86">
        <f>IF(ISERROR(E93/D93-1)=TRUE,0,(E93/D93-1))</f>
        <v>3.3904358304495119E-3</v>
      </c>
      <c r="I93" s="71"/>
      <c r="K93" s="101">
        <f>SUM(K91:K92)</f>
        <v>1181.373918051652</v>
      </c>
      <c r="L93" s="101">
        <f>SUM(L91:L92)</f>
        <v>1185.3792905125729</v>
      </c>
      <c r="M93" s="101">
        <f>SUM(M91:M92)</f>
        <v>1185.3792905125729</v>
      </c>
      <c r="N93" s="76"/>
    </row>
    <row r="94" spans="1:14" ht="7.5" customHeight="1">
      <c r="B94" s="100"/>
      <c r="C94" s="74"/>
      <c r="D94" s="88"/>
      <c r="E94" s="130"/>
      <c r="F94" s="129"/>
      <c r="G94" s="86"/>
      <c r="I94" s="71"/>
      <c r="K94" s="101"/>
      <c r="L94" s="101"/>
      <c r="M94" s="101"/>
      <c r="N94" s="76"/>
    </row>
    <row r="95" spans="1:14">
      <c r="B95" s="104" t="s">
        <v>99</v>
      </c>
      <c r="C95" s="74" t="s">
        <v>95</v>
      </c>
      <c r="D95" s="88">
        <v>0</v>
      </c>
      <c r="E95" s="130">
        <v>0</v>
      </c>
      <c r="F95" s="129">
        <f>E95-D95</f>
        <v>0</v>
      </c>
      <c r="G95" s="86">
        <f>IF(ISERROR(E95/D95-1)=TRUE,0,(E95/D95-1))</f>
        <v>0</v>
      </c>
      <c r="I95" s="149">
        <f>I92</f>
        <v>7991.8224650940447</v>
      </c>
      <c r="J95" s="57" t="s">
        <v>96</v>
      </c>
      <c r="K95" s="105">
        <f>D95/100*I95</f>
        <v>0</v>
      </c>
      <c r="L95" s="105">
        <f>E95/100*I95</f>
        <v>0</v>
      </c>
      <c r="M95" s="105">
        <f>L95</f>
        <v>0</v>
      </c>
      <c r="N95" s="76"/>
    </row>
    <row r="96" spans="1:14" ht="15">
      <c r="B96" s="104" t="s">
        <v>100</v>
      </c>
      <c r="C96" s="74" t="s">
        <v>95</v>
      </c>
      <c r="D96" s="103">
        <v>0.20699999999999999</v>
      </c>
      <c r="E96" s="132">
        <v>0.20699999999999999</v>
      </c>
      <c r="F96" s="128">
        <f>E96-D96</f>
        <v>0</v>
      </c>
      <c r="G96" s="83">
        <f>IF(ISERROR(E96/D96-1)=TRUE,0,(E96/D96-1))</f>
        <v>0</v>
      </c>
      <c r="I96" s="149">
        <f>I95</f>
        <v>7991.8224650940447</v>
      </c>
      <c r="J96" s="57" t="s">
        <v>96</v>
      </c>
      <c r="K96" s="102">
        <f>D96/100*I96</f>
        <v>16.543072502744671</v>
      </c>
      <c r="L96" s="102">
        <f>E96/100*I96</f>
        <v>16.543072502744671</v>
      </c>
      <c r="M96" s="102">
        <f>L96</f>
        <v>16.543072502744671</v>
      </c>
      <c r="N96" s="76"/>
    </row>
    <row r="97" spans="2:14">
      <c r="B97" s="100" t="s">
        <v>98</v>
      </c>
      <c r="C97" s="74"/>
      <c r="D97" s="88">
        <f>SUM(D95:D96)</f>
        <v>0.20699999999999999</v>
      </c>
      <c r="E97" s="130">
        <f>SUM(E95:E96)</f>
        <v>0.20699999999999999</v>
      </c>
      <c r="F97" s="129">
        <f>SUM(F95:F96)</f>
        <v>0</v>
      </c>
      <c r="G97" s="86">
        <f>IF(ISERROR(E97/D97-1)=TRUE,0,(E97/D97-1))</f>
        <v>0</v>
      </c>
      <c r="I97" s="71"/>
      <c r="K97" s="101">
        <f>SUM(K95:K96)</f>
        <v>16.543072502744671</v>
      </c>
      <c r="L97" s="101">
        <f>SUM(L95:L96)</f>
        <v>16.543072502744671</v>
      </c>
      <c r="M97" s="101">
        <f>SUM(M95:M96)</f>
        <v>16.543072502744671</v>
      </c>
      <c r="N97" s="76"/>
    </row>
    <row r="98" spans="2:14" ht="5.85" customHeight="1">
      <c r="B98" s="100"/>
      <c r="C98" s="74"/>
      <c r="D98" s="88"/>
      <c r="E98" s="130"/>
      <c r="F98" s="129"/>
      <c r="G98" s="86"/>
      <c r="I98" s="71"/>
      <c r="K98" s="101"/>
      <c r="L98" s="101"/>
      <c r="M98" s="101"/>
      <c r="N98" s="76"/>
    </row>
    <row r="99" spans="2:14">
      <c r="B99" s="100" t="s">
        <v>101</v>
      </c>
      <c r="C99" s="74" t="s">
        <v>95</v>
      </c>
      <c r="D99" s="130">
        <v>0.63526890999999996</v>
      </c>
      <c r="E99" s="130">
        <v>0.63526890999999996</v>
      </c>
      <c r="F99" s="129">
        <f>E99-D99</f>
        <v>0</v>
      </c>
      <c r="G99" s="86">
        <f>IF(ISERROR(E99/D99-1)=TRUE,0,(E99/D99-1))</f>
        <v>0</v>
      </c>
      <c r="I99" s="149">
        <f>I96</f>
        <v>7991.8224650940447</v>
      </c>
      <c r="J99" s="57" t="s">
        <v>96</v>
      </c>
      <c r="K99" s="105">
        <f>D99/100*I99</f>
        <v>50.769563463138063</v>
      </c>
      <c r="L99" s="105">
        <f>E99/100*I99</f>
        <v>50.769563463138063</v>
      </c>
      <c r="M99" s="105">
        <f>L99</f>
        <v>50.769563463138063</v>
      </c>
      <c r="N99" s="76"/>
    </row>
    <row r="100" spans="2:14" ht="15">
      <c r="B100" s="100" t="s">
        <v>102</v>
      </c>
      <c r="C100" s="74" t="s">
        <v>95</v>
      </c>
      <c r="D100" s="131">
        <v>1.0340780000000001E-2</v>
      </c>
      <c r="E100" s="132">
        <v>1.0340780000000001E-2</v>
      </c>
      <c r="F100" s="128">
        <f>E100-D100</f>
        <v>0</v>
      </c>
      <c r="G100" s="83">
        <f>IF(ISERROR(E100/D100-1)=TRUE,0,(E100/D100-1))</f>
        <v>0</v>
      </c>
      <c r="I100" s="149">
        <f>I99</f>
        <v>7991.8224650940447</v>
      </c>
      <c r="J100" s="57" t="s">
        <v>96</v>
      </c>
      <c r="K100" s="102">
        <f>D100/100*I100</f>
        <v>0.82641677910595202</v>
      </c>
      <c r="L100" s="102">
        <f>E100/100*I100</f>
        <v>0.82641677910595202</v>
      </c>
      <c r="M100" s="102">
        <f>L100</f>
        <v>0.82641677910595202</v>
      </c>
      <c r="N100" s="76"/>
    </row>
    <row r="101" spans="2:14">
      <c r="B101" s="100" t="s">
        <v>98</v>
      </c>
      <c r="C101" s="74"/>
      <c r="D101" s="130">
        <f>SUM(D99:D100)</f>
        <v>0.64560969000000001</v>
      </c>
      <c r="E101" s="130">
        <f>SUM(E99:E100)</f>
        <v>0.64560969000000001</v>
      </c>
      <c r="F101" s="129">
        <f>SUM(F99:F100)</f>
        <v>0</v>
      </c>
      <c r="G101" s="86">
        <f>IF(ISERROR(E101/D101-1)=TRUE,0,(E101/D101-1))</f>
        <v>0</v>
      </c>
      <c r="I101" s="71"/>
      <c r="K101" s="101">
        <f>SUM(K99:K100)</f>
        <v>51.595980242244018</v>
      </c>
      <c r="L101" s="101">
        <f>SUM(L99:L100)</f>
        <v>51.595980242244018</v>
      </c>
      <c r="M101" s="101">
        <f>SUM(M99:M100)</f>
        <v>51.595980242244018</v>
      </c>
      <c r="N101" s="76"/>
    </row>
    <row r="102" spans="2:14" ht="5.0999999999999996" customHeight="1">
      <c r="B102" s="90"/>
      <c r="C102" s="74"/>
      <c r="D102" s="103"/>
      <c r="E102" s="130"/>
      <c r="F102" s="128"/>
      <c r="G102" s="83"/>
      <c r="I102" s="133"/>
      <c r="K102" s="101"/>
      <c r="L102" s="101"/>
      <c r="M102" s="101"/>
      <c r="N102" s="76"/>
    </row>
    <row r="103" spans="2:14">
      <c r="B103" s="104" t="s">
        <v>103</v>
      </c>
      <c r="C103" s="74" t="s">
        <v>95</v>
      </c>
      <c r="D103" s="130">
        <v>0</v>
      </c>
      <c r="E103" s="88">
        <v>0</v>
      </c>
      <c r="F103" s="129">
        <f>E103-D103</f>
        <v>0</v>
      </c>
      <c r="G103" s="86">
        <f>IF(ISERROR(E103/D103-1)=TRUE,0,(E103/D103-1))</f>
        <v>0</v>
      </c>
      <c r="I103" s="149">
        <f>I100</f>
        <v>7991.8224650940447</v>
      </c>
      <c r="J103" s="57" t="s">
        <v>96</v>
      </c>
      <c r="K103" s="101">
        <f>D103/100*I103</f>
        <v>0</v>
      </c>
      <c r="L103" s="101">
        <f>E103/100*I103</f>
        <v>0</v>
      </c>
      <c r="M103" s="101">
        <f>L103</f>
        <v>0</v>
      </c>
      <c r="N103" s="76"/>
    </row>
    <row r="104" spans="2:14">
      <c r="B104" s="99" t="s">
        <v>104</v>
      </c>
      <c r="C104" s="98" t="s">
        <v>95</v>
      </c>
      <c r="D104" s="97"/>
      <c r="E104" s="152">
        <f>HLOOKUP('Bill Impacts'!$J$16,'Fee Impact'!$C$123:$H$135,4,FALSE)</f>
        <v>0.19011296121616825</v>
      </c>
      <c r="F104" s="151"/>
      <c r="G104" s="95"/>
      <c r="H104" s="93"/>
      <c r="I104" s="150">
        <f>I103</f>
        <v>7991.8224650940447</v>
      </c>
      <c r="J104" s="93" t="s">
        <v>96</v>
      </c>
      <c r="K104" s="91"/>
      <c r="L104" s="91"/>
      <c r="M104" s="91">
        <f>E104/100*I104</f>
        <v>15.193490343529263</v>
      </c>
      <c r="N104" s="76"/>
    </row>
    <row r="105" spans="2:14">
      <c r="B105" s="75" t="s">
        <v>105</v>
      </c>
      <c r="C105" s="74" t="s">
        <v>95</v>
      </c>
      <c r="D105" s="88">
        <f>D91+D97</f>
        <v>9.1663486247305279</v>
      </c>
      <c r="E105" s="88">
        <f>E91+E97</f>
        <v>8.6893638266646551</v>
      </c>
      <c r="F105" s="129">
        <f>E105-D105</f>
        <v>-0.47698479806587279</v>
      </c>
      <c r="G105" s="86">
        <f>IF(ISERROR(E105/D105-1)=TRUE,0,(E105/D105-1))</f>
        <v>-5.2036510675470327E-2</v>
      </c>
      <c r="I105" s="149"/>
      <c r="K105" s="105">
        <f>K91+K97</f>
        <v>732.55830862005325</v>
      </c>
      <c r="L105" s="105">
        <f>L91+L97</f>
        <v>694.43853037314136</v>
      </c>
      <c r="M105" s="105">
        <f>M91+M97</f>
        <v>694.43853037314136</v>
      </c>
      <c r="N105" s="86"/>
    </row>
    <row r="106" spans="2:14" ht="15">
      <c r="B106" s="75" t="s">
        <v>106</v>
      </c>
      <c r="C106" s="74" t="s">
        <v>95</v>
      </c>
      <c r="D106" s="85">
        <f>D92+D101+D103</f>
        <v>6.4685453716532741</v>
      </c>
      <c r="E106" s="85">
        <f>E92+E101+E103</f>
        <v>6.9956485560874011</v>
      </c>
      <c r="F106" s="128">
        <f>E106-D106</f>
        <v>0.52710318443412696</v>
      </c>
      <c r="G106" s="83">
        <f>IF(ISERROR(E106/D106-1)=TRUE,0,(E106/D106-1))</f>
        <v>8.1487127962960537E-2</v>
      </c>
      <c r="I106" s="149"/>
      <c r="K106" s="102">
        <f>K92+K101+K103</f>
        <v>516.95466217658748</v>
      </c>
      <c r="L106" s="102">
        <f>L92+L101+L103</f>
        <v>559.07981288442011</v>
      </c>
      <c r="M106" s="102">
        <f>M92+M101+M103+M104</f>
        <v>574.27330322794933</v>
      </c>
      <c r="N106" s="83"/>
    </row>
    <row r="107" spans="2:14">
      <c r="B107" s="78" t="s">
        <v>113</v>
      </c>
      <c r="C107" s="74" t="s">
        <v>95</v>
      </c>
      <c r="D107" s="127">
        <f>D105+D106</f>
        <v>15.634893996383802</v>
      </c>
      <c r="E107" s="127">
        <f>E105+E106</f>
        <v>15.685012382752056</v>
      </c>
      <c r="F107" s="127">
        <f>F93+F97+F101+F103</f>
        <v>5.0118386368254164E-2</v>
      </c>
      <c r="G107" s="72">
        <f>IF(ISERROR(E107/D107-1)=TRUE,0,(E107/D107-1))</f>
        <v>3.2055469247087576E-3</v>
      </c>
      <c r="I107" s="149"/>
      <c r="K107" s="105">
        <f>SUM(K105:K106)</f>
        <v>1249.5129707966407</v>
      </c>
      <c r="L107" s="105">
        <f>SUM(L105:L106)</f>
        <v>1253.5183432575614</v>
      </c>
      <c r="M107" s="105">
        <f>SUM(M105:M106)</f>
        <v>1268.7118336010908</v>
      </c>
      <c r="N107" s="69"/>
    </row>
    <row r="108" spans="2:14" ht="8.1" customHeight="1">
      <c r="B108" s="104"/>
      <c r="C108" s="74"/>
      <c r="D108" s="88"/>
      <c r="E108" s="130"/>
      <c r="F108" s="129"/>
      <c r="G108" s="107"/>
      <c r="I108" s="71"/>
      <c r="K108" s="101"/>
      <c r="L108" s="101"/>
      <c r="M108" s="101"/>
      <c r="N108" s="76"/>
    </row>
    <row r="109" spans="2:14" ht="15">
      <c r="B109" s="108" t="s">
        <v>114</v>
      </c>
      <c r="C109" s="74"/>
      <c r="D109" s="88"/>
      <c r="E109" s="130"/>
      <c r="F109" s="129"/>
      <c r="G109" s="107"/>
      <c r="I109" s="71"/>
      <c r="K109" s="101"/>
      <c r="L109" s="101"/>
      <c r="M109" s="101"/>
      <c r="N109" s="76"/>
    </row>
    <row r="110" spans="2:14">
      <c r="B110" s="100" t="s">
        <v>94</v>
      </c>
      <c r="C110" s="74" t="s">
        <v>95</v>
      </c>
      <c r="D110" s="88">
        <v>8.9593486247305272</v>
      </c>
      <c r="E110" s="130">
        <f>E$91</f>
        <v>8.4823638266646544</v>
      </c>
      <c r="F110" s="129">
        <f>E110-D110</f>
        <v>-0.47698479806587279</v>
      </c>
      <c r="G110" s="86">
        <f>IF(ISERROR(E110/D110-1)=TRUE,0,(E110/D110-1))</f>
        <v>-5.323878085838174E-2</v>
      </c>
      <c r="I110" s="149">
        <v>8121.3424008166021</v>
      </c>
      <c r="J110" s="57" t="s">
        <v>96</v>
      </c>
      <c r="K110" s="105">
        <f>D110/100*I110</f>
        <v>727.61937869721942</v>
      </c>
      <c r="L110" s="105">
        <f>E110/100*I110</f>
        <v>688.88181004644628</v>
      </c>
      <c r="M110" s="105">
        <f>L110</f>
        <v>688.88181004644628</v>
      </c>
      <c r="N110" s="76"/>
    </row>
    <row r="111" spans="2:14" ht="15">
      <c r="B111" s="104" t="s">
        <v>97</v>
      </c>
      <c r="C111" s="74" t="s">
        <v>95</v>
      </c>
      <c r="D111" s="103">
        <v>2.7585751162245682</v>
      </c>
      <c r="E111" s="132">
        <v>3.0082865689620766</v>
      </c>
      <c r="F111" s="128">
        <f>E111-D111</f>
        <v>0.24971145273750839</v>
      </c>
      <c r="G111" s="83">
        <f>IF(ISERROR(E111/D111-1)=TRUE,0,(E111/D111-1))</f>
        <v>9.0521897072452173E-2</v>
      </c>
      <c r="I111" s="149">
        <f>I110</f>
        <v>8121.3424008166021</v>
      </c>
      <c r="J111" s="57" t="s">
        <v>96</v>
      </c>
      <c r="K111" s="102">
        <f>D111/100*I111</f>
        <v>224.03333057232172</v>
      </c>
      <c r="L111" s="102">
        <f>E111/100*I111</f>
        <v>244.31325266318811</v>
      </c>
      <c r="M111" s="102">
        <f>L111</f>
        <v>244.31325266318811</v>
      </c>
      <c r="N111" s="76"/>
    </row>
    <row r="112" spans="2:14">
      <c r="B112" s="100" t="s">
        <v>98</v>
      </c>
      <c r="C112" s="74"/>
      <c r="D112" s="88">
        <f>SUM(D109:D111)</f>
        <v>11.717923740955095</v>
      </c>
      <c r="E112" s="130">
        <f>SUM(E109:E111)</f>
        <v>11.49065039562673</v>
      </c>
      <c r="F112" s="129">
        <f>E112-D112</f>
        <v>-0.22727334532836529</v>
      </c>
      <c r="G112" s="86">
        <f>IF(ISERROR(E112/D112-1)=TRUE,0,(E112/D112-1))</f>
        <v>-1.9395359651814936E-2</v>
      </c>
      <c r="I112" s="71"/>
      <c r="K112" s="101">
        <f>SUM(K110:K111)</f>
        <v>951.65270926954111</v>
      </c>
      <c r="L112" s="101">
        <f>SUM(L110:L111)</f>
        <v>933.19506270963439</v>
      </c>
      <c r="M112" s="101">
        <f>SUM(M110:M111)</f>
        <v>933.19506270963439</v>
      </c>
      <c r="N112" s="76"/>
    </row>
    <row r="113" spans="2:14" ht="7.5" customHeight="1">
      <c r="B113" s="100"/>
      <c r="C113" s="74"/>
      <c r="D113" s="88"/>
      <c r="E113" s="130"/>
      <c r="F113" s="129"/>
      <c r="G113" s="86"/>
      <c r="I113" s="71"/>
      <c r="K113" s="101"/>
      <c r="L113" s="101"/>
      <c r="M113" s="101"/>
      <c r="N113" s="76"/>
    </row>
    <row r="114" spans="2:14">
      <c r="B114" s="104" t="s">
        <v>99</v>
      </c>
      <c r="C114" s="74" t="s">
        <v>95</v>
      </c>
      <c r="D114" s="88">
        <v>0</v>
      </c>
      <c r="E114" s="130">
        <f>E$95</f>
        <v>0</v>
      </c>
      <c r="F114" s="129">
        <f>E114-D114</f>
        <v>0</v>
      </c>
      <c r="G114" s="86">
        <f>IF(ISERROR(E114/D114-1)=TRUE,0,(E114/D114-1))</f>
        <v>0</v>
      </c>
      <c r="I114" s="149">
        <f>I111</f>
        <v>8121.3424008166021</v>
      </c>
      <c r="J114" s="57" t="s">
        <v>96</v>
      </c>
      <c r="K114" s="105">
        <f>D114/100*I114</f>
        <v>0</v>
      </c>
      <c r="L114" s="105">
        <f>E114/100*I114</f>
        <v>0</v>
      </c>
      <c r="M114" s="105">
        <f>L114</f>
        <v>0</v>
      </c>
      <c r="N114" s="76"/>
    </row>
    <row r="115" spans="2:14" ht="15">
      <c r="B115" s="104" t="s">
        <v>100</v>
      </c>
      <c r="C115" s="74" t="s">
        <v>95</v>
      </c>
      <c r="D115" s="103">
        <v>0.20699999999999999</v>
      </c>
      <c r="E115" s="132">
        <f>E$96</f>
        <v>0.20699999999999999</v>
      </c>
      <c r="F115" s="128">
        <f>E115-D115</f>
        <v>0</v>
      </c>
      <c r="G115" s="83">
        <f>IF(ISERROR(E115/D115-1)=TRUE,0,(E115/D115-1))</f>
        <v>0</v>
      </c>
      <c r="I115" s="149">
        <f>I114</f>
        <v>8121.3424008166021</v>
      </c>
      <c r="J115" s="57" t="s">
        <v>96</v>
      </c>
      <c r="K115" s="102">
        <f>D115/100*I115</f>
        <v>16.811178769690365</v>
      </c>
      <c r="L115" s="102">
        <f>E115/100*I115</f>
        <v>16.811178769690365</v>
      </c>
      <c r="M115" s="102">
        <f>L115</f>
        <v>16.811178769690365</v>
      </c>
      <c r="N115" s="76"/>
    </row>
    <row r="116" spans="2:14">
      <c r="B116" s="100" t="s">
        <v>98</v>
      </c>
      <c r="C116" s="74"/>
      <c r="D116" s="88">
        <f>SUM(D114:D115)</f>
        <v>0.20699999999999999</v>
      </c>
      <c r="E116" s="130">
        <f>SUM(E113:E115)</f>
        <v>0.20699999999999999</v>
      </c>
      <c r="F116" s="129">
        <f>E116-D116</f>
        <v>0</v>
      </c>
      <c r="G116" s="86">
        <f>IF(ISERROR(E116/D116-1)=TRUE,0,(E116/D116-1))</f>
        <v>0</v>
      </c>
      <c r="I116" s="71"/>
      <c r="K116" s="101">
        <f>SUM(K114:K115)</f>
        <v>16.811178769690365</v>
      </c>
      <c r="L116" s="101">
        <f>SUM(L114:L115)</f>
        <v>16.811178769690365</v>
      </c>
      <c r="M116" s="101">
        <f>SUM(M114:M115)</f>
        <v>16.811178769690365</v>
      </c>
      <c r="N116" s="76"/>
    </row>
    <row r="117" spans="2:14" ht="4.3499999999999996" customHeight="1">
      <c r="B117" s="100"/>
      <c r="C117" s="74"/>
      <c r="D117" s="88"/>
      <c r="E117" s="130"/>
      <c r="F117" s="129"/>
      <c r="G117" s="86"/>
      <c r="I117" s="71"/>
      <c r="K117" s="101"/>
      <c r="L117" s="101"/>
      <c r="M117" s="101"/>
      <c r="N117" s="76"/>
    </row>
    <row r="118" spans="2:14">
      <c r="B118" s="100" t="s">
        <v>101</v>
      </c>
      <c r="C118" s="74" t="s">
        <v>95</v>
      </c>
      <c r="D118" s="130">
        <v>0.63526890999999996</v>
      </c>
      <c r="E118" s="130">
        <f>E$99</f>
        <v>0.63526890999999996</v>
      </c>
      <c r="F118" s="129">
        <f>E118-D118</f>
        <v>0</v>
      </c>
      <c r="G118" s="86">
        <f>IF(ISERROR(E118/D118-1)=TRUE,0,(E118/D118-1))</f>
        <v>0</v>
      </c>
      <c r="I118" s="149">
        <f>I115</f>
        <v>8121.3424008166021</v>
      </c>
      <c r="J118" s="57" t="s">
        <v>96</v>
      </c>
      <c r="K118" s="105">
        <f>D118/100*I118</f>
        <v>51.592363347035452</v>
      </c>
      <c r="L118" s="105">
        <f>E118/100*I118</f>
        <v>51.592363347035452</v>
      </c>
      <c r="M118" s="105">
        <f>L118</f>
        <v>51.592363347035452</v>
      </c>
      <c r="N118" s="76"/>
    </row>
    <row r="119" spans="2:14" ht="15">
      <c r="B119" s="100" t="s">
        <v>102</v>
      </c>
      <c r="C119" s="74" t="s">
        <v>95</v>
      </c>
      <c r="D119" s="131">
        <v>1.0340780000000001E-2</v>
      </c>
      <c r="E119" s="131">
        <f>E$100</f>
        <v>1.0340780000000001E-2</v>
      </c>
      <c r="F119" s="128">
        <f>E119-D119</f>
        <v>0</v>
      </c>
      <c r="G119" s="83">
        <f>IF(ISERROR(E119/D119-1)=TRUE,0,(E119/D119-1))</f>
        <v>0</v>
      </c>
      <c r="I119" s="149">
        <f>I118</f>
        <v>8121.3424008166021</v>
      </c>
      <c r="J119" s="57" t="s">
        <v>96</v>
      </c>
      <c r="K119" s="102">
        <f>D119/100*I119</f>
        <v>0.83981015071516307</v>
      </c>
      <c r="L119" s="102">
        <f>E119/100*I119</f>
        <v>0.83981015071516307</v>
      </c>
      <c r="M119" s="102">
        <f>L119</f>
        <v>0.83981015071516307</v>
      </c>
      <c r="N119" s="76"/>
    </row>
    <row r="120" spans="2:14">
      <c r="B120" s="100" t="s">
        <v>98</v>
      </c>
      <c r="C120" s="74"/>
      <c r="D120" s="130">
        <f>SUM(D118:D119)</f>
        <v>0.64560969000000001</v>
      </c>
      <c r="E120" s="130">
        <f>SUM(E118:E119)</f>
        <v>0.64560969000000001</v>
      </c>
      <c r="F120" s="129">
        <f>SUM(F118:F119)</f>
        <v>0</v>
      </c>
      <c r="G120" s="86">
        <f>IF(ISERROR(E120/D120-1)=TRUE,0,(E120/D120-1))</f>
        <v>0</v>
      </c>
      <c r="I120" s="71"/>
      <c r="K120" s="101">
        <f>SUM(K118:K119)</f>
        <v>52.432173497750618</v>
      </c>
      <c r="L120" s="101">
        <f>SUM(L118:L119)</f>
        <v>52.432173497750618</v>
      </c>
      <c r="M120" s="101">
        <f>SUM(M118:M119)</f>
        <v>52.432173497750618</v>
      </c>
      <c r="N120" s="76"/>
    </row>
    <row r="121" spans="2:14" ht="4.5" customHeight="1">
      <c r="B121" s="90"/>
      <c r="C121" s="74"/>
      <c r="D121" s="103"/>
      <c r="E121" s="103"/>
      <c r="F121" s="128"/>
      <c r="G121" s="83"/>
      <c r="I121" s="71"/>
      <c r="K121" s="101"/>
      <c r="L121" s="101"/>
      <c r="M121" s="101"/>
      <c r="N121" s="76"/>
    </row>
    <row r="122" spans="2:14" ht="11.85" customHeight="1">
      <c r="B122" s="104" t="s">
        <v>103</v>
      </c>
      <c r="C122" s="74" t="s">
        <v>95</v>
      </c>
      <c r="D122" s="130">
        <v>0</v>
      </c>
      <c r="E122" s="130">
        <f>E$103</f>
        <v>0</v>
      </c>
      <c r="F122" s="129">
        <f>E122-D122</f>
        <v>0</v>
      </c>
      <c r="G122" s="86">
        <f>IF(ISERROR(E122/D122-1)=TRUE,0,(E122/D122-1))</f>
        <v>0</v>
      </c>
      <c r="I122" s="149">
        <f>I119</f>
        <v>8121.3424008166021</v>
      </c>
      <c r="J122" s="57" t="s">
        <v>96</v>
      </c>
      <c r="K122" s="101">
        <f>D122/100*I122</f>
        <v>0</v>
      </c>
      <c r="L122" s="101">
        <f>E122/100*I122</f>
        <v>0</v>
      </c>
      <c r="M122" s="101">
        <f>L122</f>
        <v>0</v>
      </c>
      <c r="N122" s="76"/>
    </row>
    <row r="123" spans="2:14">
      <c r="B123" s="99" t="s">
        <v>104</v>
      </c>
      <c r="C123" s="98" t="s">
        <v>95</v>
      </c>
      <c r="D123" s="97"/>
      <c r="E123" s="152">
        <f>HLOOKUP('Bill Impacts'!$J$16,'Fee Impact'!$C$123:$H$135,4,FALSE)</f>
        <v>0.19011296121616825</v>
      </c>
      <c r="F123" s="151"/>
      <c r="G123" s="95"/>
      <c r="H123" s="93"/>
      <c r="I123" s="150">
        <f>I122</f>
        <v>8121.3424008166021</v>
      </c>
      <c r="J123" s="93" t="s">
        <v>96</v>
      </c>
      <c r="K123" s="91"/>
      <c r="L123" s="91"/>
      <c r="M123" s="91">
        <f>E123/100*I123</f>
        <v>15.439724528696695</v>
      </c>
      <c r="N123" s="76"/>
    </row>
    <row r="124" spans="2:14" ht="11.85" customHeight="1">
      <c r="B124" s="75" t="s">
        <v>105</v>
      </c>
      <c r="C124" s="74" t="s">
        <v>95</v>
      </c>
      <c r="D124" s="88">
        <f>D110+D116</f>
        <v>9.1663486247305279</v>
      </c>
      <c r="E124" s="88">
        <f>E110+E116</f>
        <v>8.6893638266646551</v>
      </c>
      <c r="F124" s="129">
        <f>E124-D124</f>
        <v>-0.47698479806587279</v>
      </c>
      <c r="G124" s="86">
        <f>IF(ISERROR(E124/D124-1)=TRUE,0,(E124/D124-1))</f>
        <v>-5.2036510675470327E-2</v>
      </c>
      <c r="I124" s="149"/>
      <c r="K124" s="105">
        <f>K110+K116</f>
        <v>744.43055746690982</v>
      </c>
      <c r="L124" s="105">
        <f>L110+L116</f>
        <v>705.69298881613668</v>
      </c>
      <c r="M124" s="105">
        <f>M110+M116</f>
        <v>705.69298881613668</v>
      </c>
      <c r="N124" s="86"/>
    </row>
    <row r="125" spans="2:14" ht="15">
      <c r="B125" s="75" t="s">
        <v>106</v>
      </c>
      <c r="C125" s="74" t="s">
        <v>95</v>
      </c>
      <c r="D125" s="85">
        <f>D111+D120+D122</f>
        <v>3.4041848062245683</v>
      </c>
      <c r="E125" s="85">
        <f>E111+E120+E122</f>
        <v>3.6538962589620767</v>
      </c>
      <c r="F125" s="128">
        <f>E125-D125</f>
        <v>0.24971145273750839</v>
      </c>
      <c r="G125" s="83">
        <f>IF(ISERROR(E125/D125-1)=TRUE,0,(E125/D125-1))</f>
        <v>7.3354258640984993E-2</v>
      </c>
      <c r="I125" s="149"/>
      <c r="K125" s="102">
        <f>K111+K120+K122</f>
        <v>276.46550407007231</v>
      </c>
      <c r="L125" s="102">
        <f>L111+L120+L122</f>
        <v>296.74542616093873</v>
      </c>
      <c r="M125" s="102">
        <f>M111+M120+M122+M123</f>
        <v>312.18515068963541</v>
      </c>
      <c r="N125" s="83"/>
    </row>
    <row r="126" spans="2:14">
      <c r="B126" s="78" t="s">
        <v>113</v>
      </c>
      <c r="C126" s="74" t="s">
        <v>95</v>
      </c>
      <c r="D126" s="127">
        <f>D124+D125</f>
        <v>12.570533430955097</v>
      </c>
      <c r="E126" s="127">
        <f>E124+E125</f>
        <v>12.343260085626731</v>
      </c>
      <c r="F126" s="127">
        <f>F112+F116+F120+F122</f>
        <v>-0.22727334532836529</v>
      </c>
      <c r="G126" s="72">
        <f>IF(ISERROR(E126/D126-1)=TRUE,0,(E126/D126-1))</f>
        <v>-1.8079848924207331E-2</v>
      </c>
      <c r="I126" s="71"/>
      <c r="K126" s="110">
        <f>K124+K125</f>
        <v>1020.8960615369822</v>
      </c>
      <c r="L126" s="110">
        <f>L124+L125</f>
        <v>1002.4384149770754</v>
      </c>
      <c r="M126" s="110">
        <f>M124+M125</f>
        <v>1017.8781395057721</v>
      </c>
      <c r="N126" s="69"/>
    </row>
    <row r="127" spans="2:14">
      <c r="B127" s="78"/>
      <c r="C127" s="74"/>
      <c r="D127" s="127"/>
      <c r="E127" s="127"/>
      <c r="F127" s="127"/>
      <c r="G127" s="72"/>
      <c r="I127" s="71"/>
      <c r="K127" s="110"/>
      <c r="L127" s="110"/>
      <c r="M127" s="110"/>
      <c r="N127" s="69"/>
    </row>
    <row r="128" spans="2:14">
      <c r="B128" s="75" t="s">
        <v>121</v>
      </c>
      <c r="C128" s="74"/>
      <c r="D128" s="127"/>
      <c r="E128" s="127"/>
      <c r="F128" s="127"/>
      <c r="G128" s="72"/>
      <c r="I128" s="71"/>
      <c r="K128" s="110"/>
      <c r="L128" s="110"/>
      <c r="M128" s="110"/>
      <c r="N128" s="69"/>
    </row>
    <row r="129" spans="1:14">
      <c r="B129" s="75" t="s">
        <v>105</v>
      </c>
      <c r="C129" s="74"/>
      <c r="D129" s="127"/>
      <c r="E129" s="127"/>
      <c r="F129" s="127"/>
      <c r="G129" s="72"/>
      <c r="I129" s="71"/>
      <c r="K129" s="105">
        <f t="shared" ref="K129:M130" si="4">K124+K105</f>
        <v>1476.9888660869631</v>
      </c>
      <c r="L129" s="105">
        <f t="shared" si="4"/>
        <v>1400.1315191892782</v>
      </c>
      <c r="M129" s="105">
        <f t="shared" si="4"/>
        <v>1400.1315191892782</v>
      </c>
      <c r="N129" s="69"/>
    </row>
    <row r="130" spans="1:14">
      <c r="B130" s="75" t="s">
        <v>106</v>
      </c>
      <c r="C130" s="74"/>
      <c r="D130" s="127"/>
      <c r="E130" s="127"/>
      <c r="F130" s="127"/>
      <c r="G130" s="72"/>
      <c r="I130" s="71"/>
      <c r="K130" s="105">
        <f t="shared" si="4"/>
        <v>793.42016624665985</v>
      </c>
      <c r="L130" s="105">
        <f t="shared" si="4"/>
        <v>855.82523904535879</v>
      </c>
      <c r="M130" s="105">
        <f t="shared" si="4"/>
        <v>886.45845391758473</v>
      </c>
      <c r="N130" s="69"/>
    </row>
    <row r="131" spans="1:14">
      <c r="B131" s="78" t="s">
        <v>113</v>
      </c>
      <c r="C131" s="74"/>
      <c r="D131" s="127"/>
      <c r="E131" s="127"/>
      <c r="F131" s="127"/>
      <c r="G131" s="72"/>
      <c r="I131" s="71"/>
      <c r="K131" s="110">
        <f>K129+K130</f>
        <v>2270.4090323336231</v>
      </c>
      <c r="L131" s="110">
        <f>L129+L130</f>
        <v>2255.9567582346372</v>
      </c>
      <c r="M131" s="110">
        <f>M129+M130</f>
        <v>2286.589973106863</v>
      </c>
      <c r="N131" s="69"/>
    </row>
    <row r="132" spans="1:14">
      <c r="B132" s="78"/>
      <c r="C132" s="74"/>
      <c r="D132" s="127"/>
      <c r="E132" s="127"/>
      <c r="F132" s="127"/>
      <c r="G132" s="72"/>
      <c r="I132" s="71"/>
      <c r="K132" s="110"/>
      <c r="L132" s="110"/>
      <c r="M132" s="110"/>
      <c r="N132" s="69"/>
    </row>
    <row r="133" spans="1:14">
      <c r="B133" s="78" t="s">
        <v>108</v>
      </c>
      <c r="C133" s="74"/>
      <c r="D133" s="127"/>
      <c r="E133" s="127"/>
      <c r="F133" s="127"/>
      <c r="G133" s="72"/>
      <c r="I133" s="71"/>
      <c r="K133" s="77"/>
      <c r="L133" s="77"/>
      <c r="M133" s="77"/>
      <c r="N133" s="76"/>
    </row>
    <row r="134" spans="1:14">
      <c r="B134" s="75" t="s">
        <v>122</v>
      </c>
      <c r="C134" s="74"/>
      <c r="D134" s="127"/>
      <c r="E134" s="127"/>
      <c r="F134" s="127"/>
      <c r="G134" s="72"/>
      <c r="I134" s="71"/>
      <c r="K134" s="105">
        <f>K85</f>
        <v>435.5166331245855</v>
      </c>
      <c r="L134" s="105">
        <f>L85</f>
        <v>474.94042496163019</v>
      </c>
      <c r="M134" s="105">
        <f>M85</f>
        <v>474.94042496163019</v>
      </c>
      <c r="N134" s="164"/>
    </row>
    <row r="135" spans="1:14">
      <c r="B135" s="75" t="s">
        <v>105</v>
      </c>
      <c r="C135" s="74"/>
      <c r="D135" s="127"/>
      <c r="E135" s="127"/>
      <c r="F135" s="127"/>
      <c r="G135" s="72"/>
      <c r="I135" s="71"/>
      <c r="K135" s="105">
        <f t="shared" ref="K135:M136" si="5">K129</f>
        <v>1476.9888660869631</v>
      </c>
      <c r="L135" s="105">
        <f t="shared" si="5"/>
        <v>1400.1315191892782</v>
      </c>
      <c r="M135" s="105">
        <f t="shared" si="5"/>
        <v>1400.1315191892782</v>
      </c>
      <c r="N135" s="164"/>
    </row>
    <row r="136" spans="1:14" ht="15">
      <c r="B136" s="75" t="s">
        <v>106</v>
      </c>
      <c r="C136" s="74"/>
      <c r="D136" s="127"/>
      <c r="E136" s="127"/>
      <c r="F136" s="127"/>
      <c r="G136" s="72"/>
      <c r="I136" s="71"/>
      <c r="K136" s="165">
        <f t="shared" si="5"/>
        <v>793.42016624665985</v>
      </c>
      <c r="L136" s="165">
        <f t="shared" si="5"/>
        <v>855.82523904535879</v>
      </c>
      <c r="M136" s="165">
        <f t="shared" si="5"/>
        <v>886.45845391758473</v>
      </c>
      <c r="N136" s="164"/>
    </row>
    <row r="137" spans="1:14">
      <c r="B137" s="78" t="s">
        <v>110</v>
      </c>
      <c r="C137" s="74"/>
      <c r="D137" s="127"/>
      <c r="E137" s="127"/>
      <c r="F137" s="127"/>
      <c r="G137" s="72"/>
      <c r="I137" s="71"/>
      <c r="K137" s="110">
        <f>SUM(K134:K136)</f>
        <v>2705.9256654582086</v>
      </c>
      <c r="L137" s="110">
        <f>SUM(L134:L136)</f>
        <v>2730.8971831962672</v>
      </c>
      <c r="M137" s="110">
        <f>SUM(M134:M136)</f>
        <v>2761.530398068493</v>
      </c>
      <c r="N137" s="147">
        <f>M137/L137-1</f>
        <v>1.1217271401031903E-2</v>
      </c>
    </row>
    <row r="138" spans="1:14">
      <c r="B138" s="78"/>
      <c r="C138" s="74"/>
      <c r="D138" s="127"/>
      <c r="E138" s="127"/>
      <c r="F138" s="127"/>
      <c r="G138" s="72"/>
      <c r="I138" s="71"/>
      <c r="K138" s="77"/>
      <c r="L138" s="77"/>
      <c r="M138" s="77"/>
      <c r="N138" s="76"/>
    </row>
    <row r="139" spans="1:14" ht="5.45" customHeight="1">
      <c r="B139" s="78"/>
      <c r="C139" s="74"/>
      <c r="D139" s="127"/>
      <c r="E139" s="127"/>
      <c r="F139" s="127"/>
      <c r="G139" s="72"/>
      <c r="I139" s="71"/>
      <c r="K139" s="77"/>
      <c r="L139" s="77"/>
      <c r="M139" s="77"/>
      <c r="N139" s="76"/>
    </row>
    <row r="140" spans="1:14" ht="31.35" customHeight="1">
      <c r="A140" s="57">
        <v>4</v>
      </c>
      <c r="B140" s="138" t="s">
        <v>123</v>
      </c>
      <c r="C140" s="137"/>
      <c r="D140" s="136"/>
      <c r="E140" s="136"/>
      <c r="F140" s="135"/>
      <c r="G140" s="134"/>
      <c r="I140" s="157"/>
      <c r="J140" s="156"/>
      <c r="K140" s="155"/>
      <c r="L140" s="155"/>
      <c r="M140" s="155"/>
      <c r="N140" s="154"/>
    </row>
    <row r="141" spans="1:14" ht="8.85" customHeight="1">
      <c r="B141" s="117"/>
      <c r="C141" s="74"/>
      <c r="D141" s="88"/>
      <c r="E141" s="88"/>
      <c r="F141" s="87"/>
      <c r="G141" s="86"/>
      <c r="I141" s="71"/>
      <c r="K141" s="77"/>
      <c r="L141" s="77"/>
      <c r="M141" s="77"/>
      <c r="N141" s="76"/>
    </row>
    <row r="142" spans="1:14" ht="15">
      <c r="B142" s="108" t="s">
        <v>124</v>
      </c>
      <c r="C142" s="74" t="s">
        <v>125</v>
      </c>
      <c r="D142" s="73">
        <v>11.17364715560139</v>
      </c>
      <c r="E142" s="127">
        <v>11.98882033306961</v>
      </c>
      <c r="F142" s="153">
        <f>E142-D142</f>
        <v>0.81517317746821938</v>
      </c>
      <c r="G142" s="72">
        <f>IF(ISERROR(E142/D142-1)=TRUE,0,(E142/D142-1))</f>
        <v>7.2954977557132761E-2</v>
      </c>
      <c r="I142" s="161">
        <v>3171.6032083333334</v>
      </c>
      <c r="J142" s="57" t="s">
        <v>117</v>
      </c>
      <c r="K142" s="77">
        <f>D142*I142</f>
        <v>35438.375167489998</v>
      </c>
      <c r="L142" s="77">
        <f>E142*I142</f>
        <v>38023.781032495477</v>
      </c>
      <c r="M142" s="77">
        <f>L142</f>
        <v>38023.781032495477</v>
      </c>
      <c r="N142" s="76"/>
    </row>
    <row r="143" spans="1:14" ht="6" customHeight="1">
      <c r="B143" s="104"/>
      <c r="C143" s="74"/>
      <c r="D143" s="73"/>
      <c r="E143" s="127"/>
      <c r="F143" s="129"/>
      <c r="G143" s="86"/>
      <c r="I143" s="71"/>
      <c r="K143" s="77"/>
      <c r="L143" s="77"/>
      <c r="M143" s="77"/>
      <c r="N143" s="76"/>
    </row>
    <row r="144" spans="1:14" ht="15">
      <c r="B144" s="108" t="s">
        <v>118</v>
      </c>
      <c r="C144" s="74" t="s">
        <v>119</v>
      </c>
      <c r="D144" s="73">
        <v>-32</v>
      </c>
      <c r="E144" s="127">
        <v>-32</v>
      </c>
      <c r="F144" s="153">
        <v>0</v>
      </c>
      <c r="G144" s="72">
        <f>IF(ISERROR(E144/D144-1)=TRUE,0,(E144/D144-1))</f>
        <v>0</v>
      </c>
      <c r="I144" s="71"/>
      <c r="K144" s="77"/>
      <c r="L144" s="77"/>
      <c r="M144" s="77"/>
      <c r="N144" s="76"/>
    </row>
    <row r="145" spans="2:14" ht="7.5" customHeight="1">
      <c r="B145" s="104"/>
      <c r="C145" s="74"/>
      <c r="D145" s="73"/>
      <c r="E145" s="127"/>
      <c r="F145" s="129"/>
      <c r="G145" s="107"/>
      <c r="I145" s="71"/>
      <c r="K145" s="77"/>
      <c r="L145" s="77"/>
      <c r="M145" s="77"/>
      <c r="N145" s="76"/>
    </row>
    <row r="146" spans="2:14" ht="15">
      <c r="B146" s="113" t="s">
        <v>77</v>
      </c>
      <c r="C146" s="74"/>
      <c r="D146" s="73"/>
      <c r="E146" s="127"/>
      <c r="F146" s="129"/>
      <c r="G146" s="107"/>
      <c r="I146" s="71"/>
      <c r="K146" s="77"/>
      <c r="L146" s="77"/>
      <c r="M146" s="77"/>
      <c r="N146" s="76"/>
    </row>
    <row r="147" spans="2:14">
      <c r="B147" s="100" t="s">
        <v>94</v>
      </c>
      <c r="C147" s="74" t="s">
        <v>95</v>
      </c>
      <c r="D147" s="88">
        <v>8.4402674909382611</v>
      </c>
      <c r="E147" s="130">
        <v>7.7000658837231777</v>
      </c>
      <c r="F147" s="129">
        <f>E147-D147</f>
        <v>-0.74020160721508343</v>
      </c>
      <c r="G147" s="86">
        <f>IF(ISERROR(E147/D147-1)=TRUE,0,(E147/D147-1))</f>
        <v>-8.7698832769196877E-2</v>
      </c>
      <c r="I147" s="133">
        <v>1487720.8333333335</v>
      </c>
      <c r="J147" s="57" t="s">
        <v>96</v>
      </c>
      <c r="K147" s="70">
        <f>D147/100*I147</f>
        <v>125567.61785174914</v>
      </c>
      <c r="L147" s="70">
        <f>E147/100*I147</f>
        <v>114555.48433254218</v>
      </c>
      <c r="M147" s="70">
        <f>L147</f>
        <v>114555.48433254218</v>
      </c>
      <c r="N147" s="76"/>
    </row>
    <row r="148" spans="2:14" ht="15">
      <c r="B148" s="104" t="s">
        <v>97</v>
      </c>
      <c r="C148" s="74" t="s">
        <v>95</v>
      </c>
      <c r="D148" s="103">
        <v>2.7238467603063898</v>
      </c>
      <c r="E148" s="132">
        <v>2.9225649395736109</v>
      </c>
      <c r="F148" s="128">
        <f>E148-D148</f>
        <v>0.19871817926722102</v>
      </c>
      <c r="G148" s="83">
        <f>IF(ISERROR(E148/D148-1)=TRUE,0,(E148/D148-1))</f>
        <v>7.2954977557132539E-2</v>
      </c>
      <c r="I148" s="149">
        <f>I147</f>
        <v>1487720.8333333335</v>
      </c>
      <c r="J148" s="57" t="s">
        <v>96</v>
      </c>
      <c r="K148" s="82">
        <f>D148/100*I148</f>
        <v>40523.235721153229</v>
      </c>
      <c r="L148" s="82">
        <f>E148/100*I148</f>
        <v>43479.607473732358</v>
      </c>
      <c r="M148" s="82">
        <f>L148</f>
        <v>43479.607473732358</v>
      </c>
      <c r="N148" s="76"/>
    </row>
    <row r="149" spans="2:14">
      <c r="B149" s="100" t="s">
        <v>98</v>
      </c>
      <c r="C149" s="74"/>
      <c r="D149" s="88">
        <f>SUM(D146:D148)</f>
        <v>11.164114251244651</v>
      </c>
      <c r="E149" s="130">
        <f>SUM(E147:E148)</f>
        <v>10.622630823296788</v>
      </c>
      <c r="F149" s="129">
        <f>E149-D149</f>
        <v>-0.54148342794786331</v>
      </c>
      <c r="G149" s="86">
        <f>IF(ISERROR(E149/D149-1)=TRUE,0,(E149/D149-1))</f>
        <v>-4.8502139602118022E-2</v>
      </c>
      <c r="I149" s="71"/>
      <c r="K149" s="77">
        <f>SUM(K147:K148)</f>
        <v>166090.85357290236</v>
      </c>
      <c r="L149" s="77">
        <f>SUM(L147:L148)</f>
        <v>158035.09180627455</v>
      </c>
      <c r="M149" s="77">
        <f>SUM(M147:M148)</f>
        <v>158035.09180627455</v>
      </c>
      <c r="N149" s="76"/>
    </row>
    <row r="150" spans="2:14" ht="5.0999999999999996" customHeight="1">
      <c r="B150" s="100"/>
      <c r="C150" s="74"/>
      <c r="D150" s="88"/>
      <c r="E150" s="130"/>
      <c r="F150" s="129"/>
      <c r="G150" s="86"/>
      <c r="I150" s="71"/>
      <c r="K150" s="77"/>
      <c r="L150" s="77"/>
      <c r="M150" s="77"/>
      <c r="N150" s="76"/>
    </row>
    <row r="151" spans="2:14">
      <c r="B151" s="104" t="s">
        <v>99</v>
      </c>
      <c r="C151" s="74" t="s">
        <v>95</v>
      </c>
      <c r="D151" s="88">
        <v>0</v>
      </c>
      <c r="E151" s="130">
        <v>0</v>
      </c>
      <c r="F151" s="129">
        <f>E151-D151</f>
        <v>0</v>
      </c>
      <c r="G151" s="86">
        <f>IF(ISERROR(E151/D151-1)=TRUE,0,(E151/D151-1))</f>
        <v>0</v>
      </c>
      <c r="I151" s="149">
        <f>I148</f>
        <v>1487720.8333333335</v>
      </c>
      <c r="J151" s="57" t="s">
        <v>96</v>
      </c>
      <c r="K151" s="70">
        <f>D151/100*I151</f>
        <v>0</v>
      </c>
      <c r="L151" s="70">
        <f>E151/100*I151</f>
        <v>0</v>
      </c>
      <c r="M151" s="70">
        <f>L151</f>
        <v>0</v>
      </c>
      <c r="N151" s="76"/>
    </row>
    <row r="152" spans="2:14" ht="15">
      <c r="B152" s="104" t="s">
        <v>100</v>
      </c>
      <c r="C152" s="74" t="s">
        <v>95</v>
      </c>
      <c r="D152" s="103">
        <v>0.158</v>
      </c>
      <c r="E152" s="132">
        <v>0.158</v>
      </c>
      <c r="F152" s="128">
        <f>E152-D152</f>
        <v>0</v>
      </c>
      <c r="G152" s="83">
        <f>IF(ISERROR(E152/D152-1)=TRUE,0,(E152/D152-1))</f>
        <v>0</v>
      </c>
      <c r="I152" s="149">
        <f>I151</f>
        <v>1487720.8333333335</v>
      </c>
      <c r="J152" s="57" t="s">
        <v>96</v>
      </c>
      <c r="K152" s="82">
        <f>D152/100*I152</f>
        <v>2350.5989166666668</v>
      </c>
      <c r="L152" s="82">
        <f>E152/100*I152</f>
        <v>2350.5989166666668</v>
      </c>
      <c r="M152" s="82">
        <f>L152</f>
        <v>2350.5989166666668</v>
      </c>
      <c r="N152" s="76"/>
    </row>
    <row r="153" spans="2:14">
      <c r="B153" s="100" t="s">
        <v>98</v>
      </c>
      <c r="C153" s="74"/>
      <c r="D153" s="88">
        <f>SUM(D151:D152)</f>
        <v>0.158</v>
      </c>
      <c r="E153" s="130">
        <f>SUM(E151:E152)</f>
        <v>0.158</v>
      </c>
      <c r="F153" s="129">
        <f>E153-D153</f>
        <v>0</v>
      </c>
      <c r="G153" s="86">
        <f>IF(ISERROR(E153/D153-1)=TRUE,0,(E153/D153-1))</f>
        <v>0</v>
      </c>
      <c r="I153" s="71"/>
      <c r="K153" s="77">
        <f>SUM(K151:K152)</f>
        <v>2350.5989166666668</v>
      </c>
      <c r="L153" s="77">
        <f>SUM(L151:L152)</f>
        <v>2350.5989166666668</v>
      </c>
      <c r="M153" s="77">
        <f>SUM(M151:M152)</f>
        <v>2350.5989166666668</v>
      </c>
      <c r="N153" s="76"/>
    </row>
    <row r="154" spans="2:14" ht="6.75" customHeight="1">
      <c r="B154" s="100"/>
      <c r="C154" s="74"/>
      <c r="D154" s="88"/>
      <c r="E154" s="130"/>
      <c r="F154" s="129"/>
      <c r="G154" s="86"/>
      <c r="I154" s="71"/>
      <c r="K154" s="77"/>
      <c r="L154" s="77"/>
      <c r="M154" s="77"/>
      <c r="N154" s="76"/>
    </row>
    <row r="155" spans="2:14" ht="11.1" customHeight="1">
      <c r="B155" s="100" t="s">
        <v>101</v>
      </c>
      <c r="C155" s="74" t="s">
        <v>95</v>
      </c>
      <c r="D155" s="130">
        <v>0.76830783000000002</v>
      </c>
      <c r="E155" s="130">
        <v>0.76830783000000002</v>
      </c>
      <c r="F155" s="129">
        <f>E155-D155</f>
        <v>0</v>
      </c>
      <c r="G155" s="86">
        <f>IF(ISERROR(E155/D155-1)=TRUE,0,(E155/D155-1))</f>
        <v>0</v>
      </c>
      <c r="I155" s="149">
        <f>I152</f>
        <v>1487720.8333333335</v>
      </c>
      <c r="J155" s="57" t="s">
        <v>96</v>
      </c>
      <c r="K155" s="70">
        <f>D155/100*I155</f>
        <v>11430.275651041251</v>
      </c>
      <c r="L155" s="70">
        <f>E155/100*I155</f>
        <v>11430.275651041251</v>
      </c>
      <c r="M155" s="70">
        <f>L155</f>
        <v>11430.275651041251</v>
      </c>
      <c r="N155" s="76"/>
    </row>
    <row r="156" spans="2:14" ht="15">
      <c r="B156" s="100" t="s">
        <v>102</v>
      </c>
      <c r="C156" s="74" t="s">
        <v>95</v>
      </c>
      <c r="D156" s="131">
        <v>2.1742600000000001E-2</v>
      </c>
      <c r="E156" s="132">
        <v>2.1742600000000001E-2</v>
      </c>
      <c r="F156" s="128">
        <f>E156-D156</f>
        <v>0</v>
      </c>
      <c r="G156" s="83">
        <f>IF(ISERROR(E156/D156-1)=TRUE,0,(E156/D156-1))</f>
        <v>0</v>
      </c>
      <c r="I156" s="149">
        <f>I155</f>
        <v>1487720.8333333335</v>
      </c>
      <c r="J156" s="57" t="s">
        <v>96</v>
      </c>
      <c r="K156" s="82">
        <f>D156/100*I156</f>
        <v>323.46918990833336</v>
      </c>
      <c r="L156" s="82">
        <f>E156/100*I156</f>
        <v>323.46918990833336</v>
      </c>
      <c r="M156" s="82">
        <f>L156</f>
        <v>323.46918990833336</v>
      </c>
      <c r="N156" s="76"/>
    </row>
    <row r="157" spans="2:14">
      <c r="B157" s="100" t="s">
        <v>98</v>
      </c>
      <c r="C157" s="74"/>
      <c r="D157" s="130">
        <f>SUM(D155:D156)</f>
        <v>0.79005042999999997</v>
      </c>
      <c r="E157" s="130">
        <f>SUM(E155:E156)</f>
        <v>0.79005042999999997</v>
      </c>
      <c r="F157" s="129">
        <f>SUM(F155:F156)</f>
        <v>0</v>
      </c>
      <c r="G157" s="86">
        <f>IF(ISERROR(E157/D157-1)=TRUE,0,(E157/D157-1))</f>
        <v>0</v>
      </c>
      <c r="I157" s="71"/>
      <c r="K157" s="77">
        <f>SUM(K155:K156)</f>
        <v>11753.744840949585</v>
      </c>
      <c r="L157" s="77">
        <f>SUM(L155:L156)</f>
        <v>11753.744840949585</v>
      </c>
      <c r="M157" s="77">
        <f>SUM(M155:M156)</f>
        <v>11753.744840949585</v>
      </c>
      <c r="N157" s="76"/>
    </row>
    <row r="158" spans="2:14" ht="4.3499999999999996" customHeight="1">
      <c r="B158" s="90"/>
      <c r="C158" s="74"/>
      <c r="D158" s="103"/>
      <c r="E158" s="130"/>
      <c r="F158" s="128"/>
      <c r="G158" s="83"/>
      <c r="I158" s="71"/>
      <c r="K158" s="77"/>
      <c r="L158" s="77"/>
      <c r="M158" s="77"/>
      <c r="N158" s="76"/>
    </row>
    <row r="159" spans="2:14">
      <c r="B159" s="104" t="s">
        <v>103</v>
      </c>
      <c r="C159" s="74" t="s">
        <v>95</v>
      </c>
      <c r="D159" s="130">
        <v>0</v>
      </c>
      <c r="E159" s="88">
        <v>0</v>
      </c>
      <c r="F159" s="129">
        <f>E159-D159</f>
        <v>0</v>
      </c>
      <c r="G159" s="86">
        <f>IF(ISERROR(E159/D159-1)=TRUE,0,(E159/D159-1))</f>
        <v>0</v>
      </c>
      <c r="I159" s="149">
        <f>I156</f>
        <v>1487720.8333333335</v>
      </c>
      <c r="J159" s="57" t="s">
        <v>96</v>
      </c>
      <c r="K159" s="77">
        <f>D159/100*I159</f>
        <v>0</v>
      </c>
      <c r="L159" s="77">
        <f>E159/100*I159</f>
        <v>0</v>
      </c>
      <c r="M159" s="77">
        <f>L159</f>
        <v>0</v>
      </c>
      <c r="N159" s="76"/>
    </row>
    <row r="160" spans="2:14">
      <c r="B160" s="99" t="s">
        <v>104</v>
      </c>
      <c r="C160" s="98" t="s">
        <v>95</v>
      </c>
      <c r="D160" s="97"/>
      <c r="E160" s="152">
        <f>HLOOKUP('Bill Impacts'!$J$16,'Fee Impact'!$C$123:$H$135,5,FALSE)</f>
        <v>0.18514994069093008</v>
      </c>
      <c r="F160" s="151"/>
      <c r="G160" s="95"/>
      <c r="H160" s="93"/>
      <c r="I160" s="150">
        <f>I159</f>
        <v>1487720.8333333335</v>
      </c>
      <c r="J160" s="93" t="s">
        <v>96</v>
      </c>
      <c r="K160" s="91"/>
      <c r="L160" s="91"/>
      <c r="M160" s="91">
        <f>E160/100*I160</f>
        <v>2754.5142405632773</v>
      </c>
      <c r="N160" s="76"/>
    </row>
    <row r="161" spans="1:14">
      <c r="B161" s="75" t="s">
        <v>105</v>
      </c>
      <c r="C161" s="74" t="s">
        <v>95</v>
      </c>
      <c r="D161" s="88">
        <f>D147+D153</f>
        <v>8.5982674909382606</v>
      </c>
      <c r="E161" s="88">
        <f>E147+E153</f>
        <v>7.858065883723178</v>
      </c>
      <c r="F161" s="129">
        <f>E161-D161</f>
        <v>-0.74020160721508255</v>
      </c>
      <c r="G161" s="86">
        <f>IF(ISERROR(E161/D161-1)=TRUE,0,(E161/D161-1))</f>
        <v>-8.6087297004330599E-2</v>
      </c>
      <c r="I161" s="149"/>
      <c r="K161" s="70">
        <f>K147+K153</f>
        <v>127918.2167684158</v>
      </c>
      <c r="L161" s="70">
        <f>L147+L153</f>
        <v>116906.08324920885</v>
      </c>
      <c r="M161" s="70">
        <f>M147+M153</f>
        <v>116906.08324920885</v>
      </c>
      <c r="N161" s="86"/>
    </row>
    <row r="162" spans="1:14" ht="15">
      <c r="B162" s="75" t="s">
        <v>106</v>
      </c>
      <c r="C162" s="74" t="s">
        <v>95</v>
      </c>
      <c r="D162" s="85">
        <f>D148+D157+D159</f>
        <v>3.5138971903063898</v>
      </c>
      <c r="E162" s="85">
        <f>E148+E157+E159</f>
        <v>3.7126153695736108</v>
      </c>
      <c r="F162" s="128">
        <f>E162-D162</f>
        <v>0.19871817926722102</v>
      </c>
      <c r="G162" s="83">
        <f>IF(ISERROR(E162/D162-1)=TRUE,0,(E162/D162-1))</f>
        <v>5.6552075517580569E-2</v>
      </c>
      <c r="I162" s="149"/>
      <c r="K162" s="82">
        <f>K148+K157+K159</f>
        <v>52276.980562102814</v>
      </c>
      <c r="L162" s="82">
        <f>L148+L157+L159</f>
        <v>55233.352314681943</v>
      </c>
      <c r="M162" s="82">
        <f>M148+M157+M159+M160</f>
        <v>57987.866555245222</v>
      </c>
      <c r="N162" s="83"/>
    </row>
    <row r="163" spans="1:14">
      <c r="B163" s="78" t="s">
        <v>113</v>
      </c>
      <c r="C163" s="74" t="s">
        <v>95</v>
      </c>
      <c r="D163" s="127">
        <f>D161+D162</f>
        <v>12.11216468124465</v>
      </c>
      <c r="E163" s="127">
        <f>E161+E162</f>
        <v>11.570681253296788</v>
      </c>
      <c r="F163" s="127">
        <f>F149+F153+F157+F159</f>
        <v>-0.54148342794786331</v>
      </c>
      <c r="G163" s="72">
        <f>IF(ISERROR(E163/D163-1)=TRUE,0,(E163/D163-1))</f>
        <v>-4.4705751795658277E-2</v>
      </c>
      <c r="I163" s="71"/>
      <c r="K163" s="80">
        <f>K161+K162</f>
        <v>180195.19733051863</v>
      </c>
      <c r="L163" s="80">
        <f>L161+L162</f>
        <v>172139.43556389079</v>
      </c>
      <c r="M163" s="80">
        <f>M161+M162</f>
        <v>174893.94980445408</v>
      </c>
      <c r="N163" s="69"/>
    </row>
    <row r="164" spans="1:14">
      <c r="B164" s="78"/>
      <c r="C164" s="74"/>
      <c r="D164" s="127"/>
      <c r="E164" s="127"/>
      <c r="F164" s="127"/>
      <c r="G164" s="72"/>
      <c r="I164" s="71"/>
      <c r="K164" s="80"/>
      <c r="L164" s="80"/>
      <c r="M164" s="80"/>
      <c r="N164" s="69"/>
    </row>
    <row r="165" spans="1:14">
      <c r="B165" s="75" t="s">
        <v>122</v>
      </c>
      <c r="C165" s="74"/>
      <c r="D165" s="127"/>
      <c r="E165" s="127"/>
      <c r="F165" s="127"/>
      <c r="G165" s="72"/>
      <c r="I165" s="71"/>
      <c r="K165" s="105">
        <f>K142</f>
        <v>35438.375167489998</v>
      </c>
      <c r="L165" s="105">
        <f>L142</f>
        <v>38023.781032495477</v>
      </c>
      <c r="M165" s="105">
        <f>M142</f>
        <v>38023.781032495477</v>
      </c>
      <c r="N165" s="164"/>
    </row>
    <row r="166" spans="1:14">
      <c r="B166" s="75" t="s">
        <v>105</v>
      </c>
      <c r="C166" s="74"/>
      <c r="D166" s="127"/>
      <c r="E166" s="127"/>
      <c r="F166" s="127"/>
      <c r="G166" s="72"/>
      <c r="I166" s="71"/>
      <c r="K166" s="105">
        <f t="shared" ref="K166:M167" si="6">K161</f>
        <v>127918.2167684158</v>
      </c>
      <c r="L166" s="105">
        <f t="shared" si="6"/>
        <v>116906.08324920885</v>
      </c>
      <c r="M166" s="105">
        <f t="shared" si="6"/>
        <v>116906.08324920885</v>
      </c>
      <c r="N166" s="164"/>
    </row>
    <row r="167" spans="1:14" ht="15">
      <c r="B167" s="75" t="s">
        <v>106</v>
      </c>
      <c r="C167" s="74"/>
      <c r="D167" s="127"/>
      <c r="E167" s="127"/>
      <c r="F167" s="127"/>
      <c r="G167" s="72"/>
      <c r="I167" s="71"/>
      <c r="K167" s="165">
        <f t="shared" si="6"/>
        <v>52276.980562102814</v>
      </c>
      <c r="L167" s="165">
        <f t="shared" si="6"/>
        <v>55233.352314681943</v>
      </c>
      <c r="M167" s="165">
        <f t="shared" si="6"/>
        <v>57987.866555245222</v>
      </c>
      <c r="N167" s="164"/>
    </row>
    <row r="168" spans="1:14">
      <c r="B168" s="78" t="s">
        <v>110</v>
      </c>
      <c r="C168" s="74"/>
      <c r="D168" s="127"/>
      <c r="E168" s="127"/>
      <c r="F168" s="127"/>
      <c r="G168" s="72"/>
      <c r="I168" s="71"/>
      <c r="K168" s="110">
        <f>SUM(K165:K167)</f>
        <v>215633.57249800861</v>
      </c>
      <c r="L168" s="110">
        <f>SUM(L165:L167)</f>
        <v>210163.21659638628</v>
      </c>
      <c r="M168" s="110">
        <f>SUM(M165:M167)</f>
        <v>212917.73083694954</v>
      </c>
      <c r="N168" s="147">
        <f>M168/L168-1</f>
        <v>1.3106547783065414E-2</v>
      </c>
    </row>
    <row r="169" spans="1:14">
      <c r="B169" s="78"/>
      <c r="C169" s="74"/>
      <c r="D169" s="127"/>
      <c r="E169" s="127"/>
      <c r="F169" s="127"/>
      <c r="G169" s="72"/>
      <c r="I169" s="71"/>
      <c r="K169" s="80"/>
      <c r="L169" s="80"/>
      <c r="M169" s="80"/>
      <c r="N169" s="69"/>
    </row>
    <row r="170" spans="1:14" ht="7.5" customHeight="1">
      <c r="B170" s="100"/>
      <c r="C170" s="74"/>
      <c r="D170" s="88"/>
      <c r="E170" s="130"/>
      <c r="F170" s="129"/>
      <c r="G170" s="86"/>
      <c r="I170" s="146"/>
      <c r="J170" s="145"/>
      <c r="K170" s="144"/>
      <c r="L170" s="144"/>
      <c r="M170" s="144"/>
      <c r="N170" s="143"/>
    </row>
    <row r="171" spans="1:14" ht="20.25">
      <c r="A171" s="57">
        <v>5</v>
      </c>
      <c r="B171" s="138" t="s">
        <v>126</v>
      </c>
      <c r="C171" s="137"/>
      <c r="D171" s="136"/>
      <c r="E171" s="136"/>
      <c r="F171" s="135"/>
      <c r="G171" s="134"/>
      <c r="I171" s="71"/>
      <c r="K171" s="77"/>
      <c r="L171" s="77"/>
      <c r="M171" s="77"/>
      <c r="N171" s="76"/>
    </row>
    <row r="172" spans="1:14" ht="7.35" customHeight="1">
      <c r="B172" s="117"/>
      <c r="C172" s="74"/>
      <c r="D172" s="88"/>
      <c r="E172" s="88"/>
      <c r="F172" s="87"/>
      <c r="G172" s="86"/>
      <c r="I172" s="71"/>
      <c r="K172" s="77"/>
      <c r="L172" s="77"/>
      <c r="M172" s="77"/>
      <c r="N172" s="76"/>
    </row>
    <row r="173" spans="1:14" ht="15">
      <c r="B173" s="108" t="s">
        <v>80</v>
      </c>
      <c r="C173" s="74" t="s">
        <v>125</v>
      </c>
      <c r="D173" s="73">
        <v>7.496149026777859</v>
      </c>
      <c r="E173" s="127">
        <v>8.1432448886489226</v>
      </c>
      <c r="F173" s="153">
        <f>E173-D173</f>
        <v>0.6470958618710636</v>
      </c>
      <c r="G173" s="72">
        <f>IF(ISERROR(E173/D173-1)=TRUE,0,(E173/D173-1))</f>
        <v>8.6323772320894054E-2</v>
      </c>
      <c r="I173" s="169">
        <v>36.333718004164197</v>
      </c>
      <c r="J173" s="57" t="s">
        <v>117</v>
      </c>
      <c r="K173" s="77">
        <f>D173*I173</f>
        <v>272.36296485613661</v>
      </c>
      <c r="L173" s="77">
        <f>E173*I173</f>
        <v>295.87436342302141</v>
      </c>
      <c r="M173" s="77">
        <f>L173</f>
        <v>295.87436342302141</v>
      </c>
      <c r="N173" s="76"/>
    </row>
    <row r="174" spans="1:14" ht="7.35" customHeight="1">
      <c r="B174" s="104"/>
      <c r="C174" s="74"/>
      <c r="D174" s="73"/>
      <c r="E174" s="127"/>
      <c r="F174" s="129"/>
      <c r="G174" s="86"/>
      <c r="I174" s="71"/>
      <c r="K174" s="77"/>
      <c r="L174" s="77"/>
      <c r="M174" s="77"/>
      <c r="N174" s="76"/>
    </row>
    <row r="175" spans="1:14" ht="15">
      <c r="B175" s="108" t="s">
        <v>118</v>
      </c>
      <c r="C175" s="74" t="s">
        <v>119</v>
      </c>
      <c r="D175" s="73">
        <v>-32</v>
      </c>
      <c r="E175" s="127">
        <v>-32</v>
      </c>
      <c r="F175" s="153">
        <f>E175-D175</f>
        <v>0</v>
      </c>
      <c r="G175" s="72">
        <f>IF(ISERROR(E175/D175-1)=TRUE,0,(E175/D175-1))</f>
        <v>0</v>
      </c>
      <c r="I175" s="71"/>
      <c r="K175" s="77"/>
      <c r="L175" s="77"/>
      <c r="M175" s="77"/>
      <c r="N175" s="76"/>
    </row>
    <row r="176" spans="1:14" ht="5.0999999999999996" customHeight="1">
      <c r="B176" s="104"/>
      <c r="C176" s="74"/>
      <c r="D176" s="73"/>
      <c r="E176" s="127"/>
      <c r="F176" s="129"/>
      <c r="G176" s="86"/>
      <c r="I176" s="71"/>
      <c r="K176" s="77"/>
      <c r="L176" s="77"/>
      <c r="M176" s="77"/>
      <c r="N176" s="76"/>
    </row>
    <row r="177" spans="2:14" ht="15">
      <c r="B177" s="113" t="s">
        <v>77</v>
      </c>
      <c r="C177" s="74"/>
      <c r="D177" s="73"/>
      <c r="E177" s="127"/>
      <c r="F177" s="129"/>
      <c r="G177" s="107"/>
      <c r="I177" s="71"/>
      <c r="K177" s="77"/>
      <c r="L177" s="77"/>
      <c r="M177" s="77"/>
      <c r="N177" s="76"/>
    </row>
    <row r="178" spans="2:14" ht="15">
      <c r="B178" s="108" t="s">
        <v>127</v>
      </c>
      <c r="C178" s="74"/>
      <c r="D178" s="88"/>
      <c r="E178" s="130"/>
      <c r="F178" s="129"/>
      <c r="G178" s="107"/>
      <c r="I178" s="71"/>
      <c r="K178" s="77"/>
      <c r="L178" s="77"/>
      <c r="M178" s="77"/>
      <c r="N178" s="76"/>
    </row>
    <row r="179" spans="2:14">
      <c r="B179" s="100" t="s">
        <v>94</v>
      </c>
      <c r="C179" s="74" t="s">
        <v>95</v>
      </c>
      <c r="D179" s="88">
        <v>8.8032300615276959</v>
      </c>
      <c r="E179" s="130">
        <v>8.3327235286904795</v>
      </c>
      <c r="F179" s="129">
        <f>E179-D179</f>
        <v>-0.47050653283721644</v>
      </c>
      <c r="G179" s="86">
        <f>IF(ISERROR(E179/D179-1)=TRUE,0,(E179/D179-1))</f>
        <v>-5.3447033594344773E-2</v>
      </c>
      <c r="I179" s="133">
        <v>9969.7539570600238</v>
      </c>
      <c r="J179" s="57" t="s">
        <v>96</v>
      </c>
      <c r="K179" s="105">
        <f>D179/100*I179</f>
        <v>877.66037740825504</v>
      </c>
      <c r="L179" s="105">
        <f>E179/100*I179</f>
        <v>830.75203373249064</v>
      </c>
      <c r="M179" s="105">
        <f>L179</f>
        <v>830.75203373249064</v>
      </c>
      <c r="N179" s="76"/>
    </row>
    <row r="180" spans="2:14" ht="15">
      <c r="B180" s="104" t="s">
        <v>97</v>
      </c>
      <c r="C180" s="74" t="s">
        <v>95</v>
      </c>
      <c r="D180" s="103">
        <v>5.0285692059572602</v>
      </c>
      <c r="E180" s="132">
        <v>5.462654269192174</v>
      </c>
      <c r="F180" s="128">
        <f>E180-D180</f>
        <v>0.4340850632349138</v>
      </c>
      <c r="G180" s="83">
        <f>IF(ISERROR(E180/D180-1)=TRUE,0,(E180/D180-1))</f>
        <v>8.6323772320894054E-2</v>
      </c>
      <c r="I180" s="149">
        <f>I179</f>
        <v>9969.7539570600238</v>
      </c>
      <c r="J180" s="57" t="s">
        <v>96</v>
      </c>
      <c r="K180" s="102">
        <f>D180/100*I180</f>
        <v>501.33597739442581</v>
      </c>
      <c r="L180" s="102">
        <f>E180/100*I180</f>
        <v>544.61319016329514</v>
      </c>
      <c r="M180" s="102">
        <f>L180</f>
        <v>544.61319016329514</v>
      </c>
      <c r="N180" s="76"/>
    </row>
    <row r="181" spans="2:14">
      <c r="B181" s="100" t="s">
        <v>98</v>
      </c>
      <c r="C181" s="74"/>
      <c r="D181" s="88">
        <f>SUM(D178:D180)</f>
        <v>13.831799267484957</v>
      </c>
      <c r="E181" s="130">
        <f>SUM(E178:E180)</f>
        <v>13.795377797882654</v>
      </c>
      <c r="F181" s="129">
        <f>E181-D181</f>
        <v>-3.6421469602302636E-2</v>
      </c>
      <c r="G181" s="86">
        <f>IF(ISERROR(E181/D181-1)=TRUE,0,(E181/D181-1))</f>
        <v>-2.6331693294537883E-3</v>
      </c>
      <c r="I181" s="71"/>
      <c r="K181" s="101">
        <f>SUM(K179:K180)</f>
        <v>1378.9963548026808</v>
      </c>
      <c r="L181" s="101">
        <f>SUM(L179:L180)</f>
        <v>1375.3652238957857</v>
      </c>
      <c r="M181" s="101">
        <f>SUM(M179:M180)</f>
        <v>1375.3652238957857</v>
      </c>
      <c r="N181" s="76"/>
    </row>
    <row r="182" spans="2:14" ht="7.35" customHeight="1">
      <c r="B182" s="100"/>
      <c r="C182" s="74"/>
      <c r="D182" s="88"/>
      <c r="E182" s="130"/>
      <c r="F182" s="129"/>
      <c r="G182" s="86"/>
      <c r="I182" s="71"/>
      <c r="K182" s="101"/>
      <c r="L182" s="101"/>
      <c r="M182" s="101"/>
      <c r="N182" s="76"/>
    </row>
    <row r="183" spans="2:14" ht="13.5" customHeight="1">
      <c r="B183" s="104" t="s">
        <v>99</v>
      </c>
      <c r="C183" s="74" t="s">
        <v>95</v>
      </c>
      <c r="D183" s="88">
        <v>0</v>
      </c>
      <c r="E183" s="130">
        <v>0</v>
      </c>
      <c r="F183" s="129">
        <f>E183-D183</f>
        <v>0</v>
      </c>
      <c r="G183" s="86">
        <f>IF(ISERROR(E183/D183-1)=TRUE,0,(E183/D183-1))</f>
        <v>0</v>
      </c>
      <c r="I183" s="149">
        <f>I180</f>
        <v>9969.7539570600238</v>
      </c>
      <c r="J183" s="57" t="s">
        <v>96</v>
      </c>
      <c r="K183" s="105">
        <f>D183/100*I183</f>
        <v>0</v>
      </c>
      <c r="L183" s="105">
        <f>E183/100*I183</f>
        <v>0</v>
      </c>
      <c r="M183" s="105">
        <f>L183</f>
        <v>0</v>
      </c>
      <c r="N183" s="76"/>
    </row>
    <row r="184" spans="2:14" ht="15">
      <c r="B184" s="104" t="s">
        <v>100</v>
      </c>
      <c r="C184" s="74" t="s">
        <v>95</v>
      </c>
      <c r="D184" s="103">
        <v>0.14400000000000002</v>
      </c>
      <c r="E184" s="132">
        <v>0.14400000000000002</v>
      </c>
      <c r="F184" s="128">
        <f>E184-D184</f>
        <v>0</v>
      </c>
      <c r="G184" s="83">
        <f>IF(ISERROR(E184/D184-1)=TRUE,0,(E184/D184-1))</f>
        <v>0</v>
      </c>
      <c r="I184" s="149">
        <f>I183</f>
        <v>9969.7539570600238</v>
      </c>
      <c r="J184" s="57" t="s">
        <v>96</v>
      </c>
      <c r="K184" s="102">
        <f>D184/100*I184</f>
        <v>14.356445698166436</v>
      </c>
      <c r="L184" s="102">
        <f>E184/100*I184</f>
        <v>14.356445698166436</v>
      </c>
      <c r="M184" s="102">
        <f>L184</f>
        <v>14.356445698166436</v>
      </c>
      <c r="N184" s="76"/>
    </row>
    <row r="185" spans="2:14">
      <c r="B185" s="100" t="s">
        <v>98</v>
      </c>
      <c r="C185" s="74"/>
      <c r="D185" s="88">
        <f>SUM(D183:D184)</f>
        <v>0.14400000000000002</v>
      </c>
      <c r="E185" s="130">
        <f>SUM(E183:E184)</f>
        <v>0.14400000000000002</v>
      </c>
      <c r="F185" s="129">
        <f>E185-D185</f>
        <v>0</v>
      </c>
      <c r="G185" s="86">
        <f>IF(ISERROR(E185/D185-1)=TRUE,0,(E185/D185-1))</f>
        <v>0</v>
      </c>
      <c r="I185" s="71"/>
      <c r="K185" s="101">
        <f>SUM(K183:K184)</f>
        <v>14.356445698166436</v>
      </c>
      <c r="L185" s="101">
        <f>SUM(L183:L184)</f>
        <v>14.356445698166436</v>
      </c>
      <c r="M185" s="101">
        <f>SUM(M183:M184)</f>
        <v>14.356445698166436</v>
      </c>
      <c r="N185" s="76"/>
    </row>
    <row r="186" spans="2:14" ht="4.3499999999999996" customHeight="1">
      <c r="B186" s="100"/>
      <c r="C186" s="74"/>
      <c r="D186" s="88"/>
      <c r="E186" s="130"/>
      <c r="F186" s="129"/>
      <c r="G186" s="86"/>
      <c r="I186" s="71"/>
      <c r="K186" s="101"/>
      <c r="L186" s="101"/>
      <c r="M186" s="101"/>
      <c r="N186" s="76"/>
    </row>
    <row r="187" spans="2:14" ht="13.5" customHeight="1">
      <c r="B187" s="100" t="s">
        <v>101</v>
      </c>
      <c r="C187" s="74" t="s">
        <v>95</v>
      </c>
      <c r="D187" s="130">
        <v>0.71970389000000001</v>
      </c>
      <c r="E187" s="130">
        <v>0.71970389000000001</v>
      </c>
      <c r="F187" s="129">
        <f>E187-D187</f>
        <v>0</v>
      </c>
      <c r="G187" s="86">
        <f>IF(ISERROR(E187/D187-1)=TRUE,0,(E187/D187-1))</f>
        <v>0</v>
      </c>
      <c r="I187" s="149">
        <f>I184</f>
        <v>9969.7539570600238</v>
      </c>
      <c r="J187" s="57" t="s">
        <v>96</v>
      </c>
      <c r="K187" s="105">
        <f>D187/100*I187</f>
        <v>71.752707052389923</v>
      </c>
      <c r="L187" s="105">
        <f>E187/100*I187</f>
        <v>71.752707052389923</v>
      </c>
      <c r="M187" s="105">
        <f>L187</f>
        <v>71.752707052389923</v>
      </c>
      <c r="N187" s="76"/>
    </row>
    <row r="188" spans="2:14" ht="13.5" customHeight="1">
      <c r="B188" s="100" t="s">
        <v>102</v>
      </c>
      <c r="C188" s="74" t="s">
        <v>95</v>
      </c>
      <c r="D188" s="131">
        <v>3.3162820000000003E-2</v>
      </c>
      <c r="E188" s="132">
        <v>3.3162820000000003E-2</v>
      </c>
      <c r="F188" s="128">
        <f>E188-D188</f>
        <v>0</v>
      </c>
      <c r="G188" s="83">
        <f>IF(ISERROR(E188/D188-1)=TRUE,0,(E188/D188-1))</f>
        <v>0</v>
      </c>
      <c r="I188" s="149">
        <f>I187</f>
        <v>9969.7539570600238</v>
      </c>
      <c r="J188" s="57" t="s">
        <v>96</v>
      </c>
      <c r="K188" s="102">
        <f>D188/100*I188</f>
        <v>3.3062515592226931</v>
      </c>
      <c r="L188" s="102">
        <f>E188/100*I188</f>
        <v>3.3062515592226931</v>
      </c>
      <c r="M188" s="102">
        <f>L188</f>
        <v>3.3062515592226931</v>
      </c>
      <c r="N188" s="76"/>
    </row>
    <row r="189" spans="2:14">
      <c r="B189" s="100" t="s">
        <v>98</v>
      </c>
      <c r="C189" s="74"/>
      <c r="D189" s="130">
        <f>SUM(D187:D188)</f>
        <v>0.75286671000000005</v>
      </c>
      <c r="E189" s="130">
        <f>SUM(E187:E188)</f>
        <v>0.75286671000000005</v>
      </c>
      <c r="F189" s="129">
        <f>SUM(F187:F188)</f>
        <v>0</v>
      </c>
      <c r="G189" s="86">
        <f>IF(ISERROR(E189/D189-1)=TRUE,0,(E189/D189-1))</f>
        <v>0</v>
      </c>
      <c r="I189" s="71"/>
      <c r="K189" s="101">
        <f>SUM(K187:K188)</f>
        <v>75.05895861161261</v>
      </c>
      <c r="L189" s="101">
        <f>SUM(L187:L188)</f>
        <v>75.05895861161261</v>
      </c>
      <c r="M189" s="101">
        <f>SUM(M187:M188)</f>
        <v>75.05895861161261</v>
      </c>
      <c r="N189" s="76"/>
    </row>
    <row r="190" spans="2:14" ht="5.0999999999999996" customHeight="1">
      <c r="B190" s="90"/>
      <c r="C190" s="74"/>
      <c r="D190" s="103"/>
      <c r="E190" s="130"/>
      <c r="F190" s="128"/>
      <c r="G190" s="83"/>
      <c r="I190" s="71"/>
      <c r="K190" s="101"/>
      <c r="L190" s="101"/>
      <c r="M190" s="101"/>
      <c r="N190" s="76"/>
    </row>
    <row r="191" spans="2:14" ht="13.5" customHeight="1">
      <c r="B191" s="104" t="s">
        <v>103</v>
      </c>
      <c r="C191" s="74" t="s">
        <v>95</v>
      </c>
      <c r="D191" s="130">
        <v>0</v>
      </c>
      <c r="E191" s="88">
        <v>0</v>
      </c>
      <c r="F191" s="129">
        <f>E191-D191</f>
        <v>0</v>
      </c>
      <c r="G191" s="86">
        <f>IF(ISERROR(E191/D191-1)=TRUE,0,(E191/D191-1))</f>
        <v>0</v>
      </c>
      <c r="I191" s="149">
        <f>I188</f>
        <v>9969.7539570600238</v>
      </c>
      <c r="J191" s="57" t="s">
        <v>96</v>
      </c>
      <c r="K191" s="101">
        <f>D191/100*I191</f>
        <v>0</v>
      </c>
      <c r="L191" s="101">
        <f>E191/100*I191</f>
        <v>0</v>
      </c>
      <c r="M191" s="101">
        <f>L191</f>
        <v>0</v>
      </c>
      <c r="N191" s="76"/>
    </row>
    <row r="192" spans="2:14">
      <c r="B192" s="99" t="s">
        <v>104</v>
      </c>
      <c r="C192" s="98" t="s">
        <v>95</v>
      </c>
      <c r="D192" s="97"/>
      <c r="E192" s="152">
        <f>HLOOKUP('Bill Impacts'!$J$16,'Fee Impact'!$C$123:$H$135,6,FALSE)</f>
        <v>0.1897644336563287</v>
      </c>
      <c r="F192" s="151"/>
      <c r="G192" s="95"/>
      <c r="H192" s="93"/>
      <c r="I192" s="150">
        <f>I191</f>
        <v>9969.7539570600238</v>
      </c>
      <c r="J192" s="93" t="s">
        <v>96</v>
      </c>
      <c r="K192" s="91"/>
      <c r="L192" s="91"/>
      <c r="M192" s="91">
        <f>E192/100*I192</f>
        <v>18.919047133544375</v>
      </c>
      <c r="N192" s="76"/>
    </row>
    <row r="193" spans="2:14" ht="13.5" customHeight="1">
      <c r="B193" s="75" t="s">
        <v>105</v>
      </c>
      <c r="C193" s="74" t="s">
        <v>95</v>
      </c>
      <c r="D193" s="88">
        <f>D179+D185</f>
        <v>8.9472300615276961</v>
      </c>
      <c r="E193" s="88">
        <f>E179+E185</f>
        <v>8.4767235286904796</v>
      </c>
      <c r="F193" s="129">
        <f>E193-D193</f>
        <v>-0.47050653283721644</v>
      </c>
      <c r="G193" s="86">
        <f>IF(ISERROR(E193/D193-1)=TRUE,0,(E193/D193-1))</f>
        <v>-5.2586837445965928E-2</v>
      </c>
      <c r="I193" s="149"/>
      <c r="K193" s="168">
        <f>K179+K185</f>
        <v>892.0168231064215</v>
      </c>
      <c r="L193" s="168">
        <f>L179+L185</f>
        <v>845.1084794306571</v>
      </c>
      <c r="M193" s="168">
        <f>M179+M185</f>
        <v>845.1084794306571</v>
      </c>
      <c r="N193" s="86"/>
    </row>
    <row r="194" spans="2:14" ht="13.5" customHeight="1">
      <c r="B194" s="75" t="s">
        <v>106</v>
      </c>
      <c r="C194" s="74" t="s">
        <v>95</v>
      </c>
      <c r="D194" s="85">
        <f>D180+D189+D191</f>
        <v>5.7814359159572604</v>
      </c>
      <c r="E194" s="85">
        <f>E180+E189+E191</f>
        <v>6.2155209791921742</v>
      </c>
      <c r="F194" s="128">
        <f>E194-D194</f>
        <v>0.4340850632349138</v>
      </c>
      <c r="G194" s="83">
        <f>IF(ISERROR(E194/D194-1)=TRUE,0,(E194/D194-1))</f>
        <v>7.5082569372913355E-2</v>
      </c>
      <c r="I194" s="149"/>
      <c r="K194" s="167">
        <f>K180+K189+K191</f>
        <v>576.39493600603839</v>
      </c>
      <c r="L194" s="167">
        <f>L180+L189+L191</f>
        <v>619.67214877490778</v>
      </c>
      <c r="M194" s="167">
        <f>M180+M189+M191+M192</f>
        <v>638.59119590845216</v>
      </c>
      <c r="N194" s="83"/>
    </row>
    <row r="195" spans="2:14">
      <c r="B195" s="78" t="s">
        <v>113</v>
      </c>
      <c r="C195" s="74" t="s">
        <v>95</v>
      </c>
      <c r="D195" s="127">
        <f>D193+D194</f>
        <v>14.728665977484956</v>
      </c>
      <c r="E195" s="127">
        <f>E193+E194</f>
        <v>14.692244507882654</v>
      </c>
      <c r="F195" s="127">
        <f>F181+F185+F189+F191</f>
        <v>-3.6421469602302636E-2</v>
      </c>
      <c r="G195" s="72">
        <f>IF(ISERROR(E195/D195-1)=TRUE,0,(E195/D195-1))</f>
        <v>-2.4728288127369158E-3</v>
      </c>
      <c r="I195" s="149"/>
      <c r="K195" s="166">
        <f>K193+K194</f>
        <v>1468.41175911246</v>
      </c>
      <c r="L195" s="166">
        <f>L193+L194</f>
        <v>1464.7806282055649</v>
      </c>
      <c r="M195" s="166">
        <f>M193+M194</f>
        <v>1483.6996753391093</v>
      </c>
      <c r="N195" s="69"/>
    </row>
    <row r="196" spans="2:14">
      <c r="B196" s="104"/>
      <c r="C196" s="74"/>
      <c r="D196" s="88"/>
      <c r="E196" s="130"/>
      <c r="F196" s="129"/>
      <c r="G196" s="86"/>
      <c r="I196" s="71"/>
      <c r="K196" s="77"/>
      <c r="L196" s="77"/>
      <c r="M196" s="77"/>
      <c r="N196" s="76"/>
    </row>
    <row r="197" spans="2:14" ht="15.6" customHeight="1">
      <c r="B197" s="108" t="s">
        <v>114</v>
      </c>
      <c r="C197" s="74"/>
      <c r="D197" s="88"/>
      <c r="E197" s="130"/>
      <c r="F197" s="129"/>
      <c r="G197" s="86"/>
      <c r="I197" s="71"/>
      <c r="K197" s="77"/>
      <c r="L197" s="77"/>
      <c r="M197" s="77"/>
      <c r="N197" s="76"/>
    </row>
    <row r="198" spans="2:14">
      <c r="B198" s="100" t="s">
        <v>94</v>
      </c>
      <c r="C198" s="74" t="s">
        <v>95</v>
      </c>
      <c r="D198" s="88">
        <v>8.8032300615276959</v>
      </c>
      <c r="E198" s="130">
        <f>E179</f>
        <v>8.3327235286904795</v>
      </c>
      <c r="F198" s="129">
        <f>E198-D198</f>
        <v>-0.47050653283721644</v>
      </c>
      <c r="G198" s="86">
        <f>IF(ISERROR(E198/D198-1)=TRUE,0,(E198/D198-1))</f>
        <v>-5.3447033594344773E-2</v>
      </c>
      <c r="I198" s="149">
        <f>I192</f>
        <v>9969.7539570600238</v>
      </c>
      <c r="J198" s="57" t="s">
        <v>96</v>
      </c>
      <c r="K198" s="105">
        <f>D198/100*I198</f>
        <v>877.66037740825504</v>
      </c>
      <c r="L198" s="105">
        <f>E198/100*I198</f>
        <v>830.75203373249064</v>
      </c>
      <c r="M198" s="105">
        <f>L198</f>
        <v>830.75203373249064</v>
      </c>
      <c r="N198" s="76"/>
    </row>
    <row r="199" spans="2:14" ht="15">
      <c r="B199" s="104" t="s">
        <v>97</v>
      </c>
      <c r="C199" s="74" t="s">
        <v>95</v>
      </c>
      <c r="D199" s="103">
        <v>2.7131510641689562</v>
      </c>
      <c r="E199" s="132">
        <v>2.9473604989044686</v>
      </c>
      <c r="F199" s="128">
        <f>E199-D199</f>
        <v>0.23420943473551237</v>
      </c>
      <c r="G199" s="83">
        <f>IF(ISERROR(E199/D199-1)=TRUE,0,(E199/D199-1))</f>
        <v>8.6323772320894054E-2</v>
      </c>
      <c r="I199" s="149">
        <f>I198</f>
        <v>9969.7539570600238</v>
      </c>
      <c r="J199" s="57" t="s">
        <v>96</v>
      </c>
      <c r="K199" s="102">
        <f>D199/100*I199</f>
        <v>270.49448558100067</v>
      </c>
      <c r="L199" s="102">
        <f>E199/100*I199</f>
        <v>293.84458996835235</v>
      </c>
      <c r="M199" s="102">
        <f>L199</f>
        <v>293.84458996835235</v>
      </c>
      <c r="N199" s="76"/>
    </row>
    <row r="200" spans="2:14">
      <c r="B200" s="100" t="s">
        <v>98</v>
      </c>
      <c r="C200" s="74"/>
      <c r="D200" s="88">
        <f>SUM(D197:D199)</f>
        <v>11.516381125696652</v>
      </c>
      <c r="E200" s="130">
        <f>SUM(E198:E199)</f>
        <v>11.280084027594949</v>
      </c>
      <c r="F200" s="129">
        <f>E200-D200</f>
        <v>-0.23629709810170318</v>
      </c>
      <c r="G200" s="86">
        <f>IF(ISERROR(E200/D200-1)=TRUE,0,(E200/D200-1))</f>
        <v>-2.0518346477301774E-2</v>
      </c>
      <c r="I200" s="71"/>
      <c r="K200" s="101">
        <f>SUM(K198:K199)</f>
        <v>1148.1548629892557</v>
      </c>
      <c r="L200" s="101">
        <f>SUM(L198:L199)</f>
        <v>1124.5966237008429</v>
      </c>
      <c r="M200" s="101">
        <f>SUM(M198:M199)</f>
        <v>1124.5966237008429</v>
      </c>
      <c r="N200" s="76"/>
    </row>
    <row r="201" spans="2:14" ht="5.85" customHeight="1">
      <c r="B201" s="100"/>
      <c r="C201" s="74"/>
      <c r="D201" s="88"/>
      <c r="E201" s="130"/>
      <c r="F201" s="129"/>
      <c r="G201" s="86"/>
      <c r="I201" s="71"/>
      <c r="K201" s="77"/>
      <c r="L201" s="77"/>
      <c r="M201" s="77"/>
      <c r="N201" s="76"/>
    </row>
    <row r="202" spans="2:14">
      <c r="B202" s="104" t="s">
        <v>99</v>
      </c>
      <c r="C202" s="74" t="s">
        <v>95</v>
      </c>
      <c r="D202" s="88">
        <v>0</v>
      </c>
      <c r="E202" s="130">
        <f>E183</f>
        <v>0</v>
      </c>
      <c r="F202" s="129">
        <f>E202-D202</f>
        <v>0</v>
      </c>
      <c r="G202" s="86">
        <f>IF(ISERROR(E202/D202-1)=TRUE,0,(E202/D202-1))</f>
        <v>0</v>
      </c>
      <c r="I202" s="149">
        <f>I199</f>
        <v>9969.7539570600238</v>
      </c>
      <c r="J202" s="57" t="s">
        <v>96</v>
      </c>
      <c r="K202" s="105">
        <f>D202/100*I202</f>
        <v>0</v>
      </c>
      <c r="L202" s="105">
        <f>E202/100*I202</f>
        <v>0</v>
      </c>
      <c r="M202" s="105">
        <f>L202</f>
        <v>0</v>
      </c>
      <c r="N202" s="76"/>
    </row>
    <row r="203" spans="2:14" ht="15">
      <c r="B203" s="104" t="s">
        <v>100</v>
      </c>
      <c r="C203" s="74" t="s">
        <v>95</v>
      </c>
      <c r="D203" s="103">
        <v>0.14400000000000002</v>
      </c>
      <c r="E203" s="132">
        <f>E184</f>
        <v>0.14400000000000002</v>
      </c>
      <c r="F203" s="128">
        <f>E203-D203</f>
        <v>0</v>
      </c>
      <c r="G203" s="83">
        <f>IF(ISERROR(E203/D203-1)=TRUE,0,(E203/D203-1))</f>
        <v>0</v>
      </c>
      <c r="I203" s="149">
        <f>I202</f>
        <v>9969.7539570600238</v>
      </c>
      <c r="J203" s="57" t="s">
        <v>96</v>
      </c>
      <c r="K203" s="102">
        <f>D203/100*I203</f>
        <v>14.356445698166436</v>
      </c>
      <c r="L203" s="102">
        <f>E203/100*I203</f>
        <v>14.356445698166436</v>
      </c>
      <c r="M203" s="102">
        <f>L203</f>
        <v>14.356445698166436</v>
      </c>
      <c r="N203" s="76"/>
    </row>
    <row r="204" spans="2:14">
      <c r="B204" s="100" t="s">
        <v>98</v>
      </c>
      <c r="C204" s="74"/>
      <c r="D204" s="88">
        <f>SUM(D202:D203)</f>
        <v>0.14400000000000002</v>
      </c>
      <c r="E204" s="130">
        <f>SUM(E202:E203)</f>
        <v>0.14400000000000002</v>
      </c>
      <c r="F204" s="129">
        <f>E204-D204</f>
        <v>0</v>
      </c>
      <c r="G204" s="86">
        <f>IF(ISERROR(E204/D204-1)=TRUE,0,(E204/D204-1))</f>
        <v>0</v>
      </c>
      <c r="I204" s="71"/>
      <c r="K204" s="101">
        <f>SUM(K202:K203)</f>
        <v>14.356445698166436</v>
      </c>
      <c r="L204" s="101">
        <f>SUM(L202:L203)</f>
        <v>14.356445698166436</v>
      </c>
      <c r="M204" s="101">
        <f>SUM(M202:M203)</f>
        <v>14.356445698166436</v>
      </c>
      <c r="N204" s="76"/>
    </row>
    <row r="205" spans="2:14" ht="3.75" customHeight="1">
      <c r="B205" s="100"/>
      <c r="C205" s="74"/>
      <c r="D205" s="88"/>
      <c r="E205" s="130"/>
      <c r="F205" s="129"/>
      <c r="G205" s="86"/>
      <c r="I205" s="149"/>
      <c r="K205" s="77"/>
      <c r="L205" s="77"/>
      <c r="M205" s="77"/>
      <c r="N205" s="76"/>
    </row>
    <row r="206" spans="2:14" ht="12" customHeight="1">
      <c r="B206" s="100" t="s">
        <v>101</v>
      </c>
      <c r="C206" s="74" t="s">
        <v>95</v>
      </c>
      <c r="D206" s="130">
        <v>0.71970389000000001</v>
      </c>
      <c r="E206" s="130">
        <f>E$187</f>
        <v>0.71970389000000001</v>
      </c>
      <c r="F206" s="129">
        <f>E206-D206</f>
        <v>0</v>
      </c>
      <c r="G206" s="86">
        <f>IF(ISERROR(E206/D206-1)=TRUE,0,(E206/D206-1))</f>
        <v>0</v>
      </c>
      <c r="I206" s="149">
        <f>I203</f>
        <v>9969.7539570600238</v>
      </c>
      <c r="J206" s="57" t="s">
        <v>96</v>
      </c>
      <c r="K206" s="105">
        <f>D206/100*I206</f>
        <v>71.752707052389923</v>
      </c>
      <c r="L206" s="105">
        <f>E206/100*I206</f>
        <v>71.752707052389923</v>
      </c>
      <c r="M206" s="105">
        <f>L206</f>
        <v>71.752707052389923</v>
      </c>
      <c r="N206" s="76"/>
    </row>
    <row r="207" spans="2:14" ht="12" customHeight="1">
      <c r="B207" s="100" t="s">
        <v>102</v>
      </c>
      <c r="C207" s="74" t="s">
        <v>95</v>
      </c>
      <c r="D207" s="131">
        <v>3.3162820000000003E-2</v>
      </c>
      <c r="E207" s="131">
        <f>E$188</f>
        <v>3.3162820000000003E-2</v>
      </c>
      <c r="F207" s="128">
        <f>E207-D207</f>
        <v>0</v>
      </c>
      <c r="G207" s="83">
        <f>IF(ISERROR(E207/D207-1)=TRUE,0,(E207/D207-1))</f>
        <v>0</v>
      </c>
      <c r="I207" s="149">
        <f>I206</f>
        <v>9969.7539570600238</v>
      </c>
      <c r="J207" s="57" t="s">
        <v>96</v>
      </c>
      <c r="K207" s="102">
        <f>D207/100*I207</f>
        <v>3.3062515592226931</v>
      </c>
      <c r="L207" s="102">
        <f>E207/100*I207</f>
        <v>3.3062515592226931</v>
      </c>
      <c r="M207" s="102">
        <f>L207</f>
        <v>3.3062515592226931</v>
      </c>
      <c r="N207" s="76"/>
    </row>
    <row r="208" spans="2:14">
      <c r="B208" s="100" t="s">
        <v>98</v>
      </c>
      <c r="C208" s="74"/>
      <c r="D208" s="130">
        <f>SUM(D206:D207)</f>
        <v>0.75286671000000005</v>
      </c>
      <c r="E208" s="130">
        <f>SUM(E206:E207)</f>
        <v>0.75286671000000005</v>
      </c>
      <c r="F208" s="129">
        <f>SUM(F206:F207)</f>
        <v>0</v>
      </c>
      <c r="G208" s="86">
        <f>IF(ISERROR(E208/D208-1)=TRUE,0,(E208/D208-1))</f>
        <v>0</v>
      </c>
      <c r="I208" s="71"/>
      <c r="K208" s="101">
        <f>SUM(K206:K207)</f>
        <v>75.05895861161261</v>
      </c>
      <c r="L208" s="101">
        <f>SUM(L206:L207)</f>
        <v>75.05895861161261</v>
      </c>
      <c r="M208" s="101">
        <f>SUM(M206:M207)</f>
        <v>75.05895861161261</v>
      </c>
      <c r="N208" s="76"/>
    </row>
    <row r="209" spans="2:14" ht="5.0999999999999996" customHeight="1">
      <c r="B209" s="90"/>
      <c r="C209" s="74"/>
      <c r="D209" s="103"/>
      <c r="E209" s="103"/>
      <c r="F209" s="128"/>
      <c r="G209" s="83"/>
      <c r="I209" s="71"/>
      <c r="K209" s="77"/>
      <c r="L209" s="77"/>
      <c r="M209" s="77"/>
      <c r="N209" s="76"/>
    </row>
    <row r="210" spans="2:14" ht="15" customHeight="1">
      <c r="B210" s="104" t="s">
        <v>103</v>
      </c>
      <c r="C210" s="74" t="s">
        <v>95</v>
      </c>
      <c r="D210" s="130">
        <v>0</v>
      </c>
      <c r="E210" s="130">
        <f>E$191</f>
        <v>0</v>
      </c>
      <c r="F210" s="129">
        <f>E210-D210</f>
        <v>0</v>
      </c>
      <c r="G210" s="86">
        <f>IF(ISERROR(E210/D210-1)=TRUE,0,(E210/D210-1))</f>
        <v>0</v>
      </c>
      <c r="I210" s="149">
        <f>I207</f>
        <v>9969.7539570600238</v>
      </c>
      <c r="J210" s="57" t="s">
        <v>96</v>
      </c>
      <c r="K210" s="77">
        <f>D210/100*I210</f>
        <v>0</v>
      </c>
      <c r="L210" s="77">
        <f>E210/100*I210</f>
        <v>0</v>
      </c>
      <c r="M210" s="77">
        <f>L210</f>
        <v>0</v>
      </c>
      <c r="N210" s="76"/>
    </row>
    <row r="211" spans="2:14">
      <c r="B211" s="99" t="s">
        <v>104</v>
      </c>
      <c r="C211" s="98" t="s">
        <v>95</v>
      </c>
      <c r="D211" s="97"/>
      <c r="E211" s="152">
        <f>HLOOKUP('Bill Impacts'!$J$16,'Fee Impact'!$C$123:$H$135,6,FALSE)</f>
        <v>0.1897644336563287</v>
      </c>
      <c r="F211" s="151"/>
      <c r="G211" s="95"/>
      <c r="H211" s="93"/>
      <c r="I211" s="150">
        <f>I210</f>
        <v>9969.7539570600238</v>
      </c>
      <c r="J211" s="93" t="s">
        <v>96</v>
      </c>
      <c r="K211" s="91"/>
      <c r="L211" s="91"/>
      <c r="M211" s="91">
        <f>E211/100*I211</f>
        <v>18.919047133544375</v>
      </c>
      <c r="N211" s="76"/>
    </row>
    <row r="212" spans="2:14" ht="15" customHeight="1">
      <c r="B212" s="75" t="s">
        <v>105</v>
      </c>
      <c r="C212" s="74" t="s">
        <v>95</v>
      </c>
      <c r="D212" s="88">
        <f>D198+D204</f>
        <v>8.9472300615276961</v>
      </c>
      <c r="E212" s="88">
        <f>E198+E204</f>
        <v>8.4767235286904796</v>
      </c>
      <c r="F212" s="129">
        <f>E212-D212</f>
        <v>-0.47050653283721644</v>
      </c>
      <c r="G212" s="86">
        <f>IF(ISERROR(E212/D212-1)=TRUE,0,(E212/D212-1))</f>
        <v>-5.2586837445965928E-2</v>
      </c>
      <c r="I212" s="149"/>
      <c r="K212" s="70">
        <f>K198+K204</f>
        <v>892.0168231064215</v>
      </c>
      <c r="L212" s="70">
        <f>L198+L204</f>
        <v>845.1084794306571</v>
      </c>
      <c r="M212" s="70">
        <f>M198+M204</f>
        <v>845.1084794306571</v>
      </c>
      <c r="N212" s="86"/>
    </row>
    <row r="213" spans="2:14" ht="15" customHeight="1">
      <c r="B213" s="75" t="s">
        <v>106</v>
      </c>
      <c r="C213" s="74" t="s">
        <v>95</v>
      </c>
      <c r="D213" s="85">
        <f>D199+D208+D210</f>
        <v>3.4660177741689564</v>
      </c>
      <c r="E213" s="85">
        <f>E199+E208+E210</f>
        <v>3.7002272089044688</v>
      </c>
      <c r="F213" s="128">
        <f>E213-D213</f>
        <v>0.23420943473551237</v>
      </c>
      <c r="G213" s="83">
        <f>IF(ISERROR(E213/D213-1)=TRUE,0,(E213/D213-1))</f>
        <v>6.7573062227492153E-2</v>
      </c>
      <c r="I213" s="149"/>
      <c r="K213" s="82">
        <f>K199+K208+K210</f>
        <v>345.55344419261326</v>
      </c>
      <c r="L213" s="82">
        <f>L199+L208+L210</f>
        <v>368.90354857996499</v>
      </c>
      <c r="M213" s="82">
        <f>M199+M208+M210+M211</f>
        <v>387.82259571350937</v>
      </c>
      <c r="N213" s="83"/>
    </row>
    <row r="214" spans="2:14">
      <c r="B214" s="78" t="s">
        <v>113</v>
      </c>
      <c r="C214" s="74" t="s">
        <v>95</v>
      </c>
      <c r="D214" s="127">
        <f>D212+D213</f>
        <v>12.413247835696652</v>
      </c>
      <c r="E214" s="127">
        <f>E212+E213</f>
        <v>12.176950737594948</v>
      </c>
      <c r="F214" s="127">
        <f>F200+F204+F208+F210</f>
        <v>-0.23629709810170318</v>
      </c>
      <c r="G214" s="72">
        <f>IF(ISERROR(E214/D214-1)=TRUE,0,(E214/D214-1))</f>
        <v>-1.9035880152347029E-2</v>
      </c>
      <c r="I214" s="149"/>
      <c r="K214" s="70">
        <f>K212+K213</f>
        <v>1237.5702672990346</v>
      </c>
      <c r="L214" s="70">
        <f>L212+L213</f>
        <v>1214.0120280106221</v>
      </c>
      <c r="M214" s="70">
        <f>M212+M213</f>
        <v>1232.9310751441665</v>
      </c>
      <c r="N214" s="69"/>
    </row>
    <row r="215" spans="2:14">
      <c r="B215" s="78"/>
      <c r="C215" s="74"/>
      <c r="D215" s="127"/>
      <c r="E215" s="127"/>
      <c r="F215" s="127"/>
      <c r="G215" s="72"/>
      <c r="I215" s="149"/>
      <c r="K215" s="80"/>
      <c r="L215" s="80"/>
      <c r="M215" s="80"/>
      <c r="N215" s="69"/>
    </row>
    <row r="216" spans="2:14">
      <c r="B216" s="75" t="s">
        <v>121</v>
      </c>
      <c r="C216" s="74"/>
      <c r="D216" s="127"/>
      <c r="E216" s="127"/>
      <c r="F216" s="127"/>
      <c r="G216" s="72"/>
      <c r="I216" s="149"/>
      <c r="K216" s="105"/>
      <c r="L216" s="105"/>
      <c r="M216" s="105"/>
      <c r="N216" s="164"/>
    </row>
    <row r="217" spans="2:14">
      <c r="B217" s="75" t="s">
        <v>105</v>
      </c>
      <c r="C217" s="74"/>
      <c r="D217" s="127"/>
      <c r="E217" s="127"/>
      <c r="F217" s="127"/>
      <c r="G217" s="72"/>
      <c r="I217" s="149"/>
      <c r="K217" s="105">
        <f t="shared" ref="K217:M218" si="7">K193+K212</f>
        <v>1784.033646212843</v>
      </c>
      <c r="L217" s="105">
        <f t="shared" si="7"/>
        <v>1690.2169588613142</v>
      </c>
      <c r="M217" s="105">
        <f t="shared" si="7"/>
        <v>1690.2169588613142</v>
      </c>
      <c r="N217" s="164"/>
    </row>
    <row r="218" spans="2:14" ht="15">
      <c r="B218" s="75" t="s">
        <v>106</v>
      </c>
      <c r="C218" s="74"/>
      <c r="D218" s="127"/>
      <c r="E218" s="127"/>
      <c r="F218" s="127"/>
      <c r="G218" s="72"/>
      <c r="I218" s="149"/>
      <c r="K218" s="165">
        <f t="shared" si="7"/>
        <v>921.94838019865165</v>
      </c>
      <c r="L218" s="165">
        <f t="shared" si="7"/>
        <v>988.57569735487277</v>
      </c>
      <c r="M218" s="165">
        <f t="shared" si="7"/>
        <v>1026.4137916219615</v>
      </c>
      <c r="N218" s="164"/>
    </row>
    <row r="219" spans="2:14">
      <c r="B219" s="78" t="s">
        <v>113</v>
      </c>
      <c r="C219" s="74"/>
      <c r="D219" s="127"/>
      <c r="E219" s="127"/>
      <c r="F219" s="127"/>
      <c r="G219" s="72"/>
      <c r="I219" s="149"/>
      <c r="K219" s="105">
        <f>K217+K218</f>
        <v>2705.9820264114946</v>
      </c>
      <c r="L219" s="105">
        <f>L217+L218</f>
        <v>2678.792656216187</v>
      </c>
      <c r="M219" s="105">
        <f>M217+M218</f>
        <v>2716.6307504832757</v>
      </c>
      <c r="N219" s="69"/>
    </row>
    <row r="220" spans="2:14">
      <c r="B220" s="78"/>
      <c r="C220" s="74"/>
      <c r="D220" s="127"/>
      <c r="E220" s="127"/>
      <c r="F220" s="127"/>
      <c r="G220" s="72"/>
      <c r="I220" s="149"/>
      <c r="K220" s="80"/>
      <c r="L220" s="80"/>
      <c r="M220" s="80"/>
      <c r="N220" s="69"/>
    </row>
    <row r="221" spans="2:14">
      <c r="B221" s="78" t="s">
        <v>108</v>
      </c>
      <c r="C221" s="74"/>
      <c r="D221" s="127"/>
      <c r="E221" s="127"/>
      <c r="F221" s="127"/>
      <c r="G221" s="72"/>
      <c r="I221" s="71"/>
      <c r="K221" s="77"/>
      <c r="L221" s="77"/>
      <c r="M221" s="77"/>
      <c r="N221" s="76"/>
    </row>
    <row r="222" spans="2:14">
      <c r="B222" s="75" t="s">
        <v>122</v>
      </c>
      <c r="C222" s="74"/>
      <c r="D222" s="127"/>
      <c r="E222" s="127"/>
      <c r="F222" s="127"/>
      <c r="G222" s="72"/>
      <c r="I222" s="149"/>
      <c r="K222" s="105">
        <f>K173</f>
        <v>272.36296485613661</v>
      </c>
      <c r="L222" s="105">
        <f>L173</f>
        <v>295.87436342302141</v>
      </c>
      <c r="M222" s="105">
        <f>M173</f>
        <v>295.87436342302141</v>
      </c>
      <c r="N222" s="164"/>
    </row>
    <row r="223" spans="2:14">
      <c r="B223" s="75" t="s">
        <v>105</v>
      </c>
      <c r="C223" s="74"/>
      <c r="D223" s="127"/>
      <c r="E223" s="127"/>
      <c r="F223" s="127"/>
      <c r="G223" s="72"/>
      <c r="I223" s="149"/>
      <c r="K223" s="105">
        <f t="shared" ref="K223:M224" si="8">K217</f>
        <v>1784.033646212843</v>
      </c>
      <c r="L223" s="105">
        <f t="shared" si="8"/>
        <v>1690.2169588613142</v>
      </c>
      <c r="M223" s="105">
        <f t="shared" si="8"/>
        <v>1690.2169588613142</v>
      </c>
      <c r="N223" s="164"/>
    </row>
    <row r="224" spans="2:14" ht="15">
      <c r="B224" s="75" t="s">
        <v>106</v>
      </c>
      <c r="C224" s="74"/>
      <c r="D224" s="127"/>
      <c r="E224" s="127"/>
      <c r="F224" s="127"/>
      <c r="G224" s="72"/>
      <c r="I224" s="149"/>
      <c r="K224" s="165">
        <f t="shared" si="8"/>
        <v>921.94838019865165</v>
      </c>
      <c r="L224" s="165">
        <f t="shared" si="8"/>
        <v>988.57569735487277</v>
      </c>
      <c r="M224" s="165">
        <f t="shared" si="8"/>
        <v>1026.4137916219615</v>
      </c>
      <c r="N224" s="164"/>
    </row>
    <row r="225" spans="1:14">
      <c r="B225" s="78" t="s">
        <v>110</v>
      </c>
      <c r="C225" s="74"/>
      <c r="D225" s="127"/>
      <c r="E225" s="127"/>
      <c r="F225" s="127"/>
      <c r="G225" s="72"/>
      <c r="I225" s="149"/>
      <c r="K225" s="110">
        <f>SUM(K222:K224)</f>
        <v>2978.3449912676315</v>
      </c>
      <c r="L225" s="110">
        <f>SUM(L222:L224)</f>
        <v>2974.6670196392083</v>
      </c>
      <c r="M225" s="110">
        <f>SUM(M222:M224)</f>
        <v>3012.5051139062971</v>
      </c>
      <c r="N225" s="147">
        <f>M225/L225-1</f>
        <v>1.2720110861913492E-2</v>
      </c>
    </row>
    <row r="226" spans="1:14">
      <c r="B226" s="78"/>
      <c r="C226" s="74"/>
      <c r="D226" s="127"/>
      <c r="E226" s="127"/>
      <c r="F226" s="127"/>
      <c r="G226" s="72"/>
      <c r="I226" s="149"/>
      <c r="K226" s="80"/>
      <c r="L226" s="80"/>
      <c r="M226" s="80"/>
      <c r="N226" s="69"/>
    </row>
    <row r="227" spans="1:14" ht="6.6" customHeight="1">
      <c r="B227" s="100"/>
      <c r="C227" s="74"/>
      <c r="D227" s="88"/>
      <c r="E227" s="130"/>
      <c r="F227" s="129"/>
      <c r="G227" s="86"/>
      <c r="I227" s="71"/>
      <c r="K227" s="77"/>
      <c r="L227" s="77"/>
      <c r="M227" s="77"/>
      <c r="N227" s="76"/>
    </row>
    <row r="228" spans="1:14" ht="24" customHeight="1">
      <c r="A228" s="57">
        <v>6</v>
      </c>
      <c r="B228" s="138" t="s">
        <v>128</v>
      </c>
      <c r="C228" s="137"/>
      <c r="D228" s="136"/>
      <c r="E228" s="136"/>
      <c r="F228" s="135"/>
      <c r="G228" s="134"/>
      <c r="I228" s="157"/>
      <c r="J228" s="156"/>
      <c r="K228" s="155"/>
      <c r="L228" s="155"/>
      <c r="M228" s="155"/>
      <c r="N228" s="154"/>
    </row>
    <row r="229" spans="1:14" ht="15">
      <c r="B229" s="108" t="s">
        <v>80</v>
      </c>
      <c r="C229" s="74" t="s">
        <v>125</v>
      </c>
      <c r="D229" s="73">
        <v>10.710072381107205</v>
      </c>
      <c r="E229" s="127">
        <v>11.269358249596104</v>
      </c>
      <c r="F229" s="153">
        <f>E229-D229</f>
        <v>0.5592858684888995</v>
      </c>
      <c r="G229" s="72">
        <f>IF(ISERROR(E229/D229-1)=TRUE,0,(E229/D229-1))</f>
        <v>5.2220549832650232E-2</v>
      </c>
      <c r="I229" s="163">
        <v>574.17289336513056</v>
      </c>
      <c r="J229" s="57" t="s">
        <v>117</v>
      </c>
      <c r="K229" s="77">
        <f>D229*I229</f>
        <v>6149.4332472102969</v>
      </c>
      <c r="L229" s="77">
        <f>E229*I229</f>
        <v>6470.5600325387986</v>
      </c>
      <c r="M229" s="77">
        <f>L229</f>
        <v>6470.5600325387986</v>
      </c>
      <c r="N229" s="76"/>
    </row>
    <row r="230" spans="1:14" ht="6" customHeight="1">
      <c r="B230" s="104"/>
      <c r="C230" s="74"/>
      <c r="D230" s="73"/>
      <c r="E230" s="127"/>
      <c r="F230" s="129"/>
      <c r="G230" s="86"/>
      <c r="I230" s="71"/>
      <c r="K230" s="77"/>
      <c r="L230" s="77"/>
      <c r="M230" s="77"/>
      <c r="N230" s="76"/>
    </row>
    <row r="231" spans="1:14" ht="12" customHeight="1">
      <c r="B231" s="108" t="s">
        <v>118</v>
      </c>
      <c r="C231" s="74" t="s">
        <v>119</v>
      </c>
      <c r="D231" s="73">
        <v>-32</v>
      </c>
      <c r="E231" s="127">
        <v>-32</v>
      </c>
      <c r="F231" s="153">
        <f>E231-D231</f>
        <v>0</v>
      </c>
      <c r="G231" s="72">
        <f>IF(ISERROR(E231/D231-1)=TRUE,0,(E231/D231-1))</f>
        <v>0</v>
      </c>
      <c r="I231" s="71"/>
      <c r="K231" s="77"/>
      <c r="L231" s="77"/>
      <c r="M231" s="77"/>
      <c r="N231" s="76"/>
    </row>
    <row r="232" spans="1:14" ht="7.5" customHeight="1">
      <c r="B232" s="104"/>
      <c r="C232" s="74"/>
      <c r="D232" s="73"/>
      <c r="E232" s="127"/>
      <c r="F232" s="129"/>
      <c r="G232" s="107"/>
      <c r="I232" s="71"/>
      <c r="K232" s="77"/>
      <c r="L232" s="77"/>
      <c r="M232" s="77"/>
      <c r="N232" s="76"/>
    </row>
    <row r="233" spans="1:14" ht="12" customHeight="1">
      <c r="B233" s="113" t="s">
        <v>77</v>
      </c>
      <c r="C233" s="74"/>
      <c r="D233" s="73"/>
      <c r="E233" s="127"/>
      <c r="F233" s="129"/>
      <c r="G233" s="107"/>
      <c r="I233" s="71"/>
      <c r="K233" s="77"/>
      <c r="L233" s="77"/>
      <c r="M233" s="77"/>
      <c r="N233" s="76"/>
    </row>
    <row r="234" spans="1:14">
      <c r="B234" s="100" t="s">
        <v>94</v>
      </c>
      <c r="C234" s="74" t="s">
        <v>95</v>
      </c>
      <c r="D234" s="88">
        <v>8.5028706855647851</v>
      </c>
      <c r="E234" s="130">
        <v>7.6482674927712235</v>
      </c>
      <c r="F234" s="129">
        <f>E234-D234</f>
        <v>-0.85460319279356156</v>
      </c>
      <c r="G234" s="86">
        <f>IF(ISERROR(E234/D234-1)=TRUE,0,(E234/D234-1))</f>
        <v>-0.10050760788875812</v>
      </c>
      <c r="I234" s="133">
        <v>197398.09523809524</v>
      </c>
      <c r="J234" s="57" t="s">
        <v>96</v>
      </c>
      <c r="K234" s="105">
        <f>D234/100*I234</f>
        <v>16784.504773863257</v>
      </c>
      <c r="L234" s="105">
        <f>E234/100*I234</f>
        <v>15097.534349444819</v>
      </c>
      <c r="M234" s="105">
        <f>L234</f>
        <v>15097.534349444819</v>
      </c>
      <c r="N234" s="76"/>
    </row>
    <row r="235" spans="1:14" ht="15">
      <c r="B235" s="104" t="s">
        <v>97</v>
      </c>
      <c r="C235" s="74" t="s">
        <v>95</v>
      </c>
      <c r="D235" s="103">
        <v>2.1786829488891524</v>
      </c>
      <c r="E235" s="132">
        <v>2.2924549703911641</v>
      </c>
      <c r="F235" s="128">
        <f>E235-D235</f>
        <v>0.11377202150201171</v>
      </c>
      <c r="G235" s="83">
        <f>IF(ISERROR(E235/D235-1)=TRUE,0,(E235/D235-1))</f>
        <v>5.2220549832650454E-2</v>
      </c>
      <c r="I235" s="149">
        <f>I234</f>
        <v>197398.09523809524</v>
      </c>
      <c r="J235" s="57" t="s">
        <v>96</v>
      </c>
      <c r="K235" s="102">
        <f>D235/100*I235</f>
        <v>4300.6786423843514</v>
      </c>
      <c r="L235" s="102">
        <f>E235/100*I235</f>
        <v>4525.2624457431975</v>
      </c>
      <c r="M235" s="102">
        <f>L235</f>
        <v>4525.2624457431975</v>
      </c>
      <c r="N235" s="76"/>
    </row>
    <row r="236" spans="1:14">
      <c r="B236" s="100" t="s">
        <v>98</v>
      </c>
      <c r="C236" s="74"/>
      <c r="D236" s="88">
        <f>SUM(D233:D235)</f>
        <v>10.681553634453937</v>
      </c>
      <c r="E236" s="130">
        <f>SUM(E234:E235)</f>
        <v>9.9407224631623876</v>
      </c>
      <c r="F236" s="129">
        <f>E236-D236</f>
        <v>-0.74083117129154985</v>
      </c>
      <c r="G236" s="86">
        <f>IF(ISERROR(E236/D236-1)=TRUE,0,(E236/D236-1))</f>
        <v>-6.9356125208411501E-2</v>
      </c>
      <c r="I236" s="71"/>
      <c r="K236" s="101">
        <f>SUM(K234:K235)</f>
        <v>21085.183416247608</v>
      </c>
      <c r="L236" s="101">
        <f>SUM(L234:L235)</f>
        <v>19622.796795188016</v>
      </c>
      <c r="M236" s="101">
        <f>SUM(M234:M235)</f>
        <v>19622.796795188016</v>
      </c>
      <c r="N236" s="76"/>
    </row>
    <row r="237" spans="1:14">
      <c r="B237" s="100"/>
      <c r="C237" s="74"/>
      <c r="D237" s="88"/>
      <c r="E237" s="130"/>
      <c r="F237" s="129"/>
      <c r="G237" s="86"/>
      <c r="I237" s="71"/>
      <c r="K237" s="77"/>
      <c r="L237" s="77"/>
      <c r="M237" s="77"/>
      <c r="N237" s="76"/>
    </row>
    <row r="238" spans="1:14">
      <c r="B238" s="104" t="s">
        <v>99</v>
      </c>
      <c r="C238" s="74" t="s">
        <v>95</v>
      </c>
      <c r="D238" s="88">
        <v>0</v>
      </c>
      <c r="E238" s="130">
        <v>0</v>
      </c>
      <c r="F238" s="129">
        <f>E238-D238</f>
        <v>0</v>
      </c>
      <c r="G238" s="86">
        <f>IF(ISERROR(E238/D238-1)=TRUE,0,(E238/D238-1))</f>
        <v>0</v>
      </c>
      <c r="I238" s="149">
        <f>I235</f>
        <v>197398.09523809524</v>
      </c>
      <c r="J238" s="57" t="s">
        <v>96</v>
      </c>
      <c r="K238" s="105">
        <f>D238/100*I238</f>
        <v>0</v>
      </c>
      <c r="L238" s="105">
        <f>E238/100*I238</f>
        <v>0</v>
      </c>
      <c r="M238" s="105">
        <f>L238</f>
        <v>0</v>
      </c>
      <c r="N238" s="76"/>
    </row>
    <row r="239" spans="1:14" ht="15">
      <c r="B239" s="104" t="s">
        <v>100</v>
      </c>
      <c r="C239" s="74" t="s">
        <v>95</v>
      </c>
      <c r="D239" s="103">
        <v>0.20600000000000002</v>
      </c>
      <c r="E239" s="132">
        <v>0.20600000000000002</v>
      </c>
      <c r="F239" s="128">
        <f>E239-D239</f>
        <v>0</v>
      </c>
      <c r="G239" s="83">
        <f>IF(ISERROR(E239/D239-1)=TRUE,0,(E239/D239-1))</f>
        <v>0</v>
      </c>
      <c r="I239" s="149">
        <f>I235</f>
        <v>197398.09523809524</v>
      </c>
      <c r="J239" s="57" t="s">
        <v>96</v>
      </c>
      <c r="K239" s="102">
        <f>D239/100*I239</f>
        <v>406.64007619047624</v>
      </c>
      <c r="L239" s="102">
        <f>E239/100*I239</f>
        <v>406.64007619047624</v>
      </c>
      <c r="M239" s="102">
        <f>L239</f>
        <v>406.64007619047624</v>
      </c>
      <c r="N239" s="76"/>
    </row>
    <row r="240" spans="1:14">
      <c r="B240" s="100" t="s">
        <v>98</v>
      </c>
      <c r="C240" s="74"/>
      <c r="D240" s="88">
        <f>SUM(D238:D239)</f>
        <v>0.20600000000000002</v>
      </c>
      <c r="E240" s="130">
        <f>SUM(E238:E239)</f>
        <v>0.20600000000000002</v>
      </c>
      <c r="F240" s="129">
        <f>SUM(F238:F239)</f>
        <v>0</v>
      </c>
      <c r="G240" s="86">
        <f>IF(ISERROR(E240/D240-1)=TRUE,0,(E240/D240-1))</f>
        <v>0</v>
      </c>
      <c r="I240" s="71"/>
      <c r="K240" s="101">
        <f>SUM(K238:K239)</f>
        <v>406.64007619047624</v>
      </c>
      <c r="L240" s="101">
        <f>SUM(L238:L239)</f>
        <v>406.64007619047624</v>
      </c>
      <c r="M240" s="101">
        <f>SUM(M238:M239)</f>
        <v>406.64007619047624</v>
      </c>
      <c r="N240" s="76"/>
    </row>
    <row r="241" spans="2:14" ht="5.25" customHeight="1">
      <c r="B241" s="100"/>
      <c r="C241" s="74"/>
      <c r="D241" s="88"/>
      <c r="E241" s="130"/>
      <c r="F241" s="129"/>
      <c r="G241" s="86"/>
      <c r="I241" s="71"/>
      <c r="K241" s="77"/>
      <c r="L241" s="77"/>
      <c r="M241" s="77"/>
      <c r="N241" s="76"/>
    </row>
    <row r="242" spans="2:14">
      <c r="B242" s="100" t="s">
        <v>101</v>
      </c>
      <c r="C242" s="74" t="s">
        <v>95</v>
      </c>
      <c r="D242" s="88">
        <v>0.30637223000000002</v>
      </c>
      <c r="E242" s="130">
        <v>0.30637223000000002</v>
      </c>
      <c r="F242" s="129">
        <f>E242-D242</f>
        <v>0</v>
      </c>
      <c r="G242" s="86">
        <f>IF(ISERROR(E242/D242-1)=TRUE,0,(E242/D242-1))</f>
        <v>0</v>
      </c>
      <c r="I242" s="149">
        <f>I239</f>
        <v>197398.09523809524</v>
      </c>
      <c r="J242" s="57" t="s">
        <v>96</v>
      </c>
      <c r="K242" s="105">
        <f>D242/100*I242</f>
        <v>604.77294635847625</v>
      </c>
      <c r="L242" s="105">
        <f>E242/100*I242</f>
        <v>604.77294635847625</v>
      </c>
      <c r="M242" s="105">
        <f>L242</f>
        <v>604.77294635847625</v>
      </c>
      <c r="N242" s="76"/>
    </row>
    <row r="243" spans="2:14" ht="15">
      <c r="B243" s="100" t="s">
        <v>102</v>
      </c>
      <c r="C243" s="74" t="s">
        <v>95</v>
      </c>
      <c r="D243" s="128">
        <v>8.0886599999999993E-3</v>
      </c>
      <c r="E243" s="132">
        <v>8.0886599999999993E-3</v>
      </c>
      <c r="F243" s="128">
        <f>E243-D243</f>
        <v>0</v>
      </c>
      <c r="G243" s="83">
        <f>IF(ISERROR(E243/D243-1)=TRUE,0,(E243/D243-1))</f>
        <v>0</v>
      </c>
      <c r="I243" s="149">
        <f>I242</f>
        <v>197398.09523809524</v>
      </c>
      <c r="J243" s="57" t="s">
        <v>96</v>
      </c>
      <c r="K243" s="102">
        <f>D243/100*I243</f>
        <v>15.966860770285715</v>
      </c>
      <c r="L243" s="102">
        <f>E243/100*I243</f>
        <v>15.966860770285715</v>
      </c>
      <c r="M243" s="102">
        <f>L243</f>
        <v>15.966860770285715</v>
      </c>
      <c r="N243" s="76"/>
    </row>
    <row r="244" spans="2:14">
      <c r="B244" s="100" t="s">
        <v>98</v>
      </c>
      <c r="C244" s="74"/>
      <c r="D244" s="130">
        <f>SUM(D242:D243)</f>
        <v>0.31446089000000005</v>
      </c>
      <c r="E244" s="130">
        <f>SUM(E242:E243)</f>
        <v>0.31446089000000005</v>
      </c>
      <c r="F244" s="129">
        <f>SUM(F242:F243)</f>
        <v>0</v>
      </c>
      <c r="G244" s="86">
        <f>IF(ISERROR(E244/D244-1)=TRUE,0,(E244/D244-1))</f>
        <v>0</v>
      </c>
      <c r="I244" s="71"/>
      <c r="K244" s="101">
        <f>SUM(K242:K243)</f>
        <v>620.73980712876198</v>
      </c>
      <c r="L244" s="101">
        <f>SUM(L242:L243)</f>
        <v>620.73980712876198</v>
      </c>
      <c r="M244" s="101">
        <f>SUM(M242:M243)</f>
        <v>620.73980712876198</v>
      </c>
      <c r="N244" s="76"/>
    </row>
    <row r="245" spans="2:14" ht="5.0999999999999996" customHeight="1">
      <c r="B245" s="90"/>
      <c r="C245" s="74"/>
      <c r="D245" s="88"/>
      <c r="E245" s="130"/>
      <c r="F245" s="129"/>
      <c r="G245" s="86"/>
      <c r="I245" s="71"/>
      <c r="K245" s="77"/>
      <c r="L245" s="77"/>
      <c r="M245" s="77"/>
      <c r="N245" s="76"/>
    </row>
    <row r="246" spans="2:14">
      <c r="B246" s="104" t="s">
        <v>103</v>
      </c>
      <c r="C246" s="74" t="s">
        <v>95</v>
      </c>
      <c r="D246" s="130">
        <v>0</v>
      </c>
      <c r="E246" s="88">
        <v>0</v>
      </c>
      <c r="F246" s="129">
        <f>E246-D246</f>
        <v>0</v>
      </c>
      <c r="G246" s="86">
        <f>IF(ISERROR(E246/D246-1)=TRUE,0,(E246/D246-1))</f>
        <v>0</v>
      </c>
      <c r="I246" s="149">
        <f>I243</f>
        <v>197398.09523809524</v>
      </c>
      <c r="J246" s="57" t="s">
        <v>96</v>
      </c>
      <c r="K246" s="77">
        <f>D246/100*I246</f>
        <v>0</v>
      </c>
      <c r="L246" s="77">
        <f>E246/100*I246</f>
        <v>0</v>
      </c>
      <c r="M246" s="77">
        <f>L246</f>
        <v>0</v>
      </c>
      <c r="N246" s="76"/>
    </row>
    <row r="247" spans="2:14">
      <c r="B247" s="99" t="s">
        <v>104</v>
      </c>
      <c r="C247" s="98" t="s">
        <v>95</v>
      </c>
      <c r="D247" s="97"/>
      <c r="E247" s="152">
        <f>HLOOKUP('Bill Impacts'!$J$16,'Fee Impact'!$C$123:$H$135,7,FALSE)</f>
        <v>0.18808299970053197</v>
      </c>
      <c r="F247" s="151"/>
      <c r="G247" s="95"/>
      <c r="H247" s="93"/>
      <c r="I247" s="150">
        <f>I246</f>
        <v>197398.09523809524</v>
      </c>
      <c r="J247" s="93" t="s">
        <v>96</v>
      </c>
      <c r="K247" s="91"/>
      <c r="L247" s="91"/>
      <c r="M247" s="91">
        <f>E247/100*I247</f>
        <v>371.27225887552248</v>
      </c>
      <c r="N247" s="76"/>
    </row>
    <row r="248" spans="2:14">
      <c r="B248" s="75" t="s">
        <v>105</v>
      </c>
      <c r="C248" s="74" t="s">
        <v>95</v>
      </c>
      <c r="D248" s="88">
        <f>D234+D240</f>
        <v>8.7088706855647846</v>
      </c>
      <c r="E248" s="88">
        <f>E234+E240</f>
        <v>7.8542674927712239</v>
      </c>
      <c r="F248" s="129">
        <f>E248-D248</f>
        <v>-0.85460319279356067</v>
      </c>
      <c r="G248" s="86">
        <f>IF(ISERROR(E248/D248-1)=TRUE,0,(E248/D248-1))</f>
        <v>-9.8130196629293343E-2</v>
      </c>
      <c r="I248" s="149"/>
      <c r="K248" s="70">
        <f>K234+K240</f>
        <v>17191.144850053734</v>
      </c>
      <c r="L248" s="70">
        <f>L234+L240</f>
        <v>15504.174425635296</v>
      </c>
      <c r="M248" s="70">
        <f>M234+M240</f>
        <v>15504.174425635296</v>
      </c>
      <c r="N248" s="76"/>
    </row>
    <row r="249" spans="2:14">
      <c r="B249" s="75" t="s">
        <v>106</v>
      </c>
      <c r="C249" s="74" t="s">
        <v>95</v>
      </c>
      <c r="D249" s="85">
        <f>D235+D244+D246</f>
        <v>2.4931438388891523</v>
      </c>
      <c r="E249" s="85">
        <f>E235+E244+E246</f>
        <v>2.606915860391164</v>
      </c>
      <c r="F249" s="162">
        <f>E249-D249</f>
        <v>0.11377202150201171</v>
      </c>
      <c r="G249" s="83">
        <f>IF(ISERROR(E249/D249-1)=TRUE,0,(E249/D249-1))</f>
        <v>4.5633958108371342E-2</v>
      </c>
      <c r="I249" s="149"/>
      <c r="K249" s="82">
        <f>K235+K244+K246</f>
        <v>4921.418449513113</v>
      </c>
      <c r="L249" s="82">
        <f>L235+L244+L246</f>
        <v>5146.0022528719592</v>
      </c>
      <c r="M249" s="82">
        <f>M235+M244+M246+M247</f>
        <v>5517.2745117474815</v>
      </c>
      <c r="N249" s="76"/>
    </row>
    <row r="250" spans="2:14">
      <c r="B250" s="78" t="s">
        <v>107</v>
      </c>
      <c r="C250" s="74"/>
      <c r="D250" s="127">
        <f>D248+D249</f>
        <v>11.202014524453936</v>
      </c>
      <c r="E250" s="127">
        <f>E236+E240+E244+E246</f>
        <v>10.461183353162387</v>
      </c>
      <c r="F250" s="127">
        <f>F236+F240+F244+F246</f>
        <v>-0.74083117129154985</v>
      </c>
      <c r="G250" s="72">
        <f>IF(ISERROR(E250/D250-1)=TRUE,0,(E250/D250-1))</f>
        <v>-6.6133744932602934E-2</v>
      </c>
      <c r="I250" s="71"/>
      <c r="K250" s="80">
        <f>K248+K249</f>
        <v>22112.563299566846</v>
      </c>
      <c r="L250" s="80">
        <f>L248+L249</f>
        <v>20650.176678507254</v>
      </c>
      <c r="M250" s="80">
        <f>M248+M249</f>
        <v>21021.448937382778</v>
      </c>
      <c r="N250" s="76"/>
    </row>
    <row r="251" spans="2:14">
      <c r="B251" s="78"/>
      <c r="C251" s="74"/>
      <c r="D251" s="127"/>
      <c r="E251" s="127"/>
      <c r="F251" s="127"/>
      <c r="G251" s="72"/>
      <c r="I251" s="71"/>
      <c r="K251" s="80"/>
      <c r="L251" s="80"/>
      <c r="M251" s="80"/>
      <c r="N251" s="76"/>
    </row>
    <row r="252" spans="2:14">
      <c r="B252" s="78" t="s">
        <v>108</v>
      </c>
      <c r="C252" s="74"/>
      <c r="D252" s="127"/>
      <c r="E252" s="127"/>
      <c r="F252" s="127"/>
      <c r="G252" s="72"/>
      <c r="I252" s="71"/>
      <c r="K252" s="77"/>
      <c r="L252" s="77"/>
      <c r="M252" s="77"/>
      <c r="N252" s="76"/>
    </row>
    <row r="253" spans="2:14">
      <c r="B253" s="75" t="s">
        <v>122</v>
      </c>
      <c r="C253" s="74"/>
      <c r="D253" s="127"/>
      <c r="E253" s="127"/>
      <c r="F253" s="127"/>
      <c r="G253" s="72"/>
      <c r="I253" s="71"/>
      <c r="K253" s="70">
        <f>K229</f>
        <v>6149.4332472102969</v>
      </c>
      <c r="L253" s="70">
        <f>L229</f>
        <v>6470.5600325387986</v>
      </c>
      <c r="M253" s="70">
        <f>M229</f>
        <v>6470.5600325387986</v>
      </c>
      <c r="N253" s="76"/>
    </row>
    <row r="254" spans="2:14">
      <c r="B254" s="75" t="s">
        <v>105</v>
      </c>
      <c r="C254" s="74"/>
      <c r="D254" s="127"/>
      <c r="E254" s="127"/>
      <c r="F254" s="127"/>
      <c r="G254" s="72"/>
      <c r="I254" s="71"/>
      <c r="K254" s="70">
        <f t="shared" ref="K254:M255" si="9">K248</f>
        <v>17191.144850053734</v>
      </c>
      <c r="L254" s="70">
        <f t="shared" si="9"/>
        <v>15504.174425635296</v>
      </c>
      <c r="M254" s="70">
        <f t="shared" si="9"/>
        <v>15504.174425635296</v>
      </c>
      <c r="N254" s="69"/>
    </row>
    <row r="255" spans="2:14">
      <c r="B255" s="75" t="s">
        <v>106</v>
      </c>
      <c r="C255" s="74"/>
      <c r="D255" s="127"/>
      <c r="E255" s="127"/>
      <c r="F255" s="127"/>
      <c r="G255" s="72"/>
      <c r="I255" s="71"/>
      <c r="K255" s="70">
        <f t="shared" si="9"/>
        <v>4921.418449513113</v>
      </c>
      <c r="L255" s="70">
        <f t="shared" si="9"/>
        <v>5146.0022528719592</v>
      </c>
      <c r="M255" s="70">
        <f t="shared" si="9"/>
        <v>5517.2745117474815</v>
      </c>
      <c r="N255" s="69"/>
    </row>
    <row r="256" spans="2:14">
      <c r="B256" s="78" t="s">
        <v>110</v>
      </c>
      <c r="C256" s="74"/>
      <c r="D256" s="127"/>
      <c r="E256" s="127"/>
      <c r="F256" s="127"/>
      <c r="G256" s="72"/>
      <c r="I256" s="71"/>
      <c r="K256" s="80">
        <f>SUM(K253:K255)</f>
        <v>28261.996546777144</v>
      </c>
      <c r="L256" s="80">
        <f>SUM(L253:L255)</f>
        <v>27120.736711046055</v>
      </c>
      <c r="M256" s="80">
        <f>SUM(M253:M255)</f>
        <v>27492.008969921575</v>
      </c>
      <c r="N256" s="147">
        <f>M256/L256-1</f>
        <v>1.3689608170721401E-2</v>
      </c>
    </row>
    <row r="257" spans="1:14">
      <c r="B257" s="78"/>
      <c r="C257" s="74"/>
      <c r="D257" s="127"/>
      <c r="E257" s="127"/>
      <c r="F257" s="127"/>
      <c r="G257" s="72"/>
      <c r="I257" s="71"/>
      <c r="K257" s="80"/>
      <c r="L257" s="80"/>
      <c r="M257" s="80"/>
      <c r="N257" s="69"/>
    </row>
    <row r="258" spans="1:14" ht="8.25" customHeight="1">
      <c r="B258" s="100"/>
      <c r="C258" s="74"/>
      <c r="D258" s="88"/>
      <c r="E258" s="130"/>
      <c r="F258" s="129"/>
      <c r="G258" s="86"/>
      <c r="I258" s="146"/>
      <c r="J258" s="145"/>
      <c r="K258" s="144"/>
      <c r="L258" s="144"/>
      <c r="M258" s="144"/>
      <c r="N258" s="143"/>
    </row>
    <row r="259" spans="1:14" ht="25.5" customHeight="1">
      <c r="A259" s="57">
        <v>7</v>
      </c>
      <c r="B259" s="138" t="s">
        <v>129</v>
      </c>
      <c r="C259" s="137"/>
      <c r="D259" s="136"/>
      <c r="E259" s="136"/>
      <c r="F259" s="135"/>
      <c r="G259" s="134"/>
      <c r="I259" s="71"/>
      <c r="K259" s="77"/>
      <c r="L259" s="77"/>
      <c r="M259" s="77"/>
      <c r="N259" s="76"/>
    </row>
    <row r="260" spans="1:14" ht="15">
      <c r="B260" s="108" t="s">
        <v>124</v>
      </c>
      <c r="C260" s="74" t="s">
        <v>125</v>
      </c>
      <c r="D260" s="73">
        <v>9.2675853276772493</v>
      </c>
      <c r="E260" s="127">
        <v>10.006287512777089</v>
      </c>
      <c r="F260" s="153">
        <f>E260-D260</f>
        <v>0.73870218509983943</v>
      </c>
      <c r="G260" s="72">
        <f>IF(ISERROR(E260/D260-1)=TRUE,0,(E260/D260-1))</f>
        <v>7.9708161185604309E-2</v>
      </c>
      <c r="I260" s="161">
        <v>3577.4990456487117</v>
      </c>
      <c r="J260" s="57" t="s">
        <v>117</v>
      </c>
      <c r="K260" s="77">
        <f>D260*I260</f>
        <v>33154.777665233363</v>
      </c>
      <c r="L260" s="77">
        <f>E260*I260</f>
        <v>35797.484027446655</v>
      </c>
      <c r="M260" s="77">
        <f>L260</f>
        <v>35797.484027446655</v>
      </c>
      <c r="N260" s="76"/>
    </row>
    <row r="261" spans="1:14" ht="5.85" customHeight="1">
      <c r="B261" s="104"/>
      <c r="C261" s="74"/>
      <c r="D261" s="73"/>
      <c r="E261" s="127"/>
      <c r="F261" s="153"/>
      <c r="G261" s="72"/>
      <c r="I261" s="71"/>
      <c r="K261" s="77"/>
      <c r="L261" s="77"/>
      <c r="M261" s="77"/>
      <c r="N261" s="76"/>
    </row>
    <row r="262" spans="1:14" ht="15">
      <c r="B262" s="108" t="s">
        <v>118</v>
      </c>
      <c r="C262" s="74" t="s">
        <v>119</v>
      </c>
      <c r="D262" s="73">
        <v>-32</v>
      </c>
      <c r="E262" s="127">
        <v>-32</v>
      </c>
      <c r="F262" s="153">
        <f>E262-D262</f>
        <v>0</v>
      </c>
      <c r="G262" s="72">
        <f>IF(ISERROR(E262/D262-1)=TRUE,0,(E262/D262-1))</f>
        <v>0</v>
      </c>
      <c r="I262" s="159"/>
      <c r="K262" s="77"/>
      <c r="L262" s="77"/>
      <c r="M262" s="77"/>
      <c r="N262" s="76"/>
    </row>
    <row r="263" spans="1:14" ht="6.6" customHeight="1">
      <c r="B263" s="108"/>
      <c r="C263" s="74"/>
      <c r="D263" s="73"/>
      <c r="E263" s="127"/>
      <c r="F263" s="153"/>
      <c r="G263" s="160"/>
      <c r="I263" s="71"/>
      <c r="K263" s="77"/>
      <c r="L263" s="77"/>
      <c r="M263" s="77"/>
      <c r="N263" s="76"/>
    </row>
    <row r="264" spans="1:14" ht="15">
      <c r="B264" s="108" t="s">
        <v>130</v>
      </c>
      <c r="C264" s="74" t="s">
        <v>125</v>
      </c>
      <c r="D264" s="73">
        <v>-7.6381136379063896</v>
      </c>
      <c r="E264" s="127">
        <v>-7.6669755718335519</v>
      </c>
      <c r="F264" s="153">
        <f>E264-D264</f>
        <v>-2.8861933927162298E-2</v>
      </c>
      <c r="G264" s="72">
        <f>IF(ISERROR(E264/D264-1)=TRUE,0,(E264/D264-1))</f>
        <v>3.7786730199884655E-3</v>
      </c>
      <c r="I264" s="159"/>
      <c r="K264" s="77"/>
      <c r="L264" s="77"/>
      <c r="M264" s="77"/>
      <c r="N264" s="76"/>
    </row>
    <row r="265" spans="1:14" ht="8.1" customHeight="1">
      <c r="B265" s="108"/>
      <c r="C265" s="74"/>
      <c r="D265" s="73"/>
      <c r="E265" s="127"/>
      <c r="F265" s="129"/>
      <c r="G265" s="107"/>
      <c r="I265" s="71"/>
      <c r="K265" s="77"/>
      <c r="L265" s="77"/>
      <c r="M265" s="77"/>
      <c r="N265" s="76"/>
    </row>
    <row r="266" spans="1:14" ht="15">
      <c r="B266" s="108" t="s">
        <v>131</v>
      </c>
      <c r="C266" s="74"/>
      <c r="D266" s="73">
        <v>2.1609629574390468</v>
      </c>
      <c r="E266" s="127">
        <v>2.326964041667503</v>
      </c>
      <c r="F266" s="153">
        <f>E266-D266</f>
        <v>0.16600108422845627</v>
      </c>
      <c r="G266" s="72">
        <f>IF(ISERROR(E266/D266-1)=TRUE,0,(E266/D266-1))</f>
        <v>7.6818107250289813E-2</v>
      </c>
      <c r="I266" s="71"/>
      <c r="K266" s="77"/>
      <c r="L266" s="77"/>
      <c r="M266" s="77"/>
      <c r="N266" s="76"/>
    </row>
    <row r="267" spans="1:14" ht="8.1" customHeight="1">
      <c r="B267" s="108"/>
      <c r="C267" s="74"/>
      <c r="D267" s="73"/>
      <c r="E267" s="127"/>
      <c r="F267" s="129"/>
      <c r="G267" s="107"/>
      <c r="I267" s="71"/>
      <c r="K267" s="77"/>
      <c r="L267" s="77"/>
      <c r="M267" s="77"/>
      <c r="N267" s="76"/>
    </row>
    <row r="268" spans="1:14" ht="15">
      <c r="B268" s="113" t="s">
        <v>77</v>
      </c>
      <c r="C268" s="74"/>
      <c r="D268" s="73"/>
      <c r="E268" s="127"/>
      <c r="F268" s="129"/>
      <c r="G268" s="107"/>
      <c r="I268" s="71"/>
      <c r="K268" s="77"/>
      <c r="L268" s="77"/>
      <c r="M268" s="77"/>
      <c r="N268" s="76"/>
    </row>
    <row r="269" spans="1:14" ht="15">
      <c r="B269" s="113" t="s">
        <v>132</v>
      </c>
      <c r="C269" s="74"/>
      <c r="D269" s="73"/>
      <c r="E269" s="127"/>
      <c r="F269" s="129"/>
      <c r="G269" s="107"/>
      <c r="I269" s="71"/>
      <c r="K269" s="77"/>
      <c r="L269" s="77"/>
      <c r="M269" s="77"/>
      <c r="N269" s="76"/>
    </row>
    <row r="270" spans="1:14">
      <c r="B270" s="100" t="s">
        <v>94</v>
      </c>
      <c r="C270" s="74" t="s">
        <v>95</v>
      </c>
      <c r="D270" s="88">
        <v>8.2338802206665598</v>
      </c>
      <c r="E270" s="130">
        <v>7.4839403270293907</v>
      </c>
      <c r="F270" s="129">
        <f>E270-D270</f>
        <v>-0.74993989363716906</v>
      </c>
      <c r="G270" s="86">
        <f>IF(ISERROR(E270/D270-1)=TRUE,0,(E270/D270-1))</f>
        <v>-9.1079767198320893E-2</v>
      </c>
      <c r="I270" s="133">
        <v>1607828.7037037036</v>
      </c>
      <c r="J270" s="57" t="s">
        <v>96</v>
      </c>
      <c r="K270" s="105">
        <f>D270/100*I270</f>
        <v>132386.68961645881</v>
      </c>
      <c r="L270" s="105">
        <f>E270/100*I270</f>
        <v>120328.94074603537</v>
      </c>
      <c r="M270" s="105">
        <f>L270</f>
        <v>120328.94074603537</v>
      </c>
      <c r="N270" s="76"/>
    </row>
    <row r="271" spans="1:14" ht="15">
      <c r="B271" s="104" t="s">
        <v>97</v>
      </c>
      <c r="C271" s="74" t="s">
        <v>95</v>
      </c>
      <c r="D271" s="103">
        <v>2.0607758044143951</v>
      </c>
      <c r="E271" s="132">
        <v>2.2250364544000507</v>
      </c>
      <c r="F271" s="128">
        <f>E271-D271</f>
        <v>0.16426064998565559</v>
      </c>
      <c r="G271" s="83">
        <f>IF(ISERROR(E271/D271-1)=TRUE,0,(E271/D271-1))</f>
        <v>7.9708161185604087E-2</v>
      </c>
      <c r="I271" s="149">
        <f>I270</f>
        <v>1607828.7037037036</v>
      </c>
      <c r="J271" s="57" t="s">
        <v>96</v>
      </c>
      <c r="K271" s="102">
        <f>D271/100*I271</f>
        <v>33133.744902355538</v>
      </c>
      <c r="L271" s="102">
        <f>E271/100*I271</f>
        <v>35774.774781715183</v>
      </c>
      <c r="M271" s="102">
        <f>L271</f>
        <v>35774.774781715183</v>
      </c>
      <c r="N271" s="76"/>
    </row>
    <row r="272" spans="1:14">
      <c r="B272" s="100" t="s">
        <v>98</v>
      </c>
      <c r="C272" s="74"/>
      <c r="D272" s="88">
        <f>SUM(D269:D271)</f>
        <v>10.294656025080954</v>
      </c>
      <c r="E272" s="130">
        <f>SUM(E270:E271)</f>
        <v>9.7089767814294419</v>
      </c>
      <c r="F272" s="129">
        <f>E272-D272</f>
        <v>-0.58567924365151214</v>
      </c>
      <c r="G272" s="86">
        <f>IF(ISERROR(E272/D272-1)=TRUE,0,(E272/D272-1))</f>
        <v>-5.6891579691892291E-2</v>
      </c>
      <c r="I272" s="71"/>
      <c r="K272" s="101">
        <f>SUM(K270:K271)</f>
        <v>165520.43451881435</v>
      </c>
      <c r="L272" s="101">
        <f>SUM(L270:L271)</f>
        <v>156103.71552775055</v>
      </c>
      <c r="M272" s="101">
        <f>SUM(M270:M271)</f>
        <v>156103.71552775055</v>
      </c>
      <c r="N272" s="76"/>
    </row>
    <row r="273" spans="2:14" ht="7.35" customHeight="1">
      <c r="B273" s="100"/>
      <c r="C273" s="74"/>
      <c r="D273" s="88"/>
      <c r="E273" s="130"/>
      <c r="F273" s="129"/>
      <c r="G273" s="86"/>
      <c r="I273" s="71"/>
      <c r="K273" s="77"/>
      <c r="L273" s="77"/>
      <c r="M273" s="77"/>
      <c r="N273" s="76"/>
    </row>
    <row r="274" spans="2:14">
      <c r="B274" s="104" t="s">
        <v>99</v>
      </c>
      <c r="C274" s="74" t="s">
        <v>95</v>
      </c>
      <c r="D274" s="88">
        <v>0</v>
      </c>
      <c r="E274" s="130">
        <v>0</v>
      </c>
      <c r="F274" s="129">
        <f>E274-D274</f>
        <v>0</v>
      </c>
      <c r="G274" s="86">
        <f>IF(ISERROR(E274/D274-1)=TRUE,0,(E274/D274-1))</f>
        <v>0</v>
      </c>
      <c r="I274" s="149">
        <f>I271</f>
        <v>1607828.7037037036</v>
      </c>
      <c r="J274" s="57" t="s">
        <v>96</v>
      </c>
      <c r="K274" s="105">
        <f>D274/100*I274</f>
        <v>0</v>
      </c>
      <c r="L274" s="105">
        <f>E274/100*I274</f>
        <v>0</v>
      </c>
      <c r="M274" s="105">
        <f>L274</f>
        <v>0</v>
      </c>
      <c r="N274" s="76"/>
    </row>
    <row r="275" spans="2:14" ht="15">
      <c r="B275" s="104" t="s">
        <v>100</v>
      </c>
      <c r="C275" s="74" t="s">
        <v>95</v>
      </c>
      <c r="D275" s="103">
        <v>0.247</v>
      </c>
      <c r="E275" s="132">
        <v>0.247</v>
      </c>
      <c r="F275" s="128">
        <f>E275-D275</f>
        <v>0</v>
      </c>
      <c r="G275" s="83">
        <f>IF(ISERROR(E275/D275-1)=TRUE,0,(E275/D275-1))</f>
        <v>0</v>
      </c>
      <c r="I275" s="149">
        <f>I274</f>
        <v>1607828.7037037036</v>
      </c>
      <c r="J275" s="57" t="s">
        <v>96</v>
      </c>
      <c r="K275" s="102">
        <f>D275/100*I275</f>
        <v>3971.3368981481476</v>
      </c>
      <c r="L275" s="102">
        <f>E275/100*I275</f>
        <v>3971.3368981481476</v>
      </c>
      <c r="M275" s="102">
        <f>L275</f>
        <v>3971.3368981481476</v>
      </c>
      <c r="N275" s="76"/>
    </row>
    <row r="276" spans="2:14" ht="15" customHeight="1">
      <c r="B276" s="100" t="s">
        <v>98</v>
      </c>
      <c r="C276" s="74"/>
      <c r="D276" s="88">
        <f>SUM(D274:D275)</f>
        <v>0.247</v>
      </c>
      <c r="E276" s="130">
        <f>SUM(E274:E275)</f>
        <v>0.247</v>
      </c>
      <c r="F276" s="129">
        <f>E276-D276</f>
        <v>0</v>
      </c>
      <c r="G276" s="86">
        <f>IF(ISERROR(E276/D276-1)=TRUE,0,(E276/D276-1))</f>
        <v>0</v>
      </c>
      <c r="I276" s="71"/>
      <c r="K276" s="101">
        <f>SUM(K274:K275)</f>
        <v>3971.3368981481476</v>
      </c>
      <c r="L276" s="101">
        <f>SUM(L274:L275)</f>
        <v>3971.3368981481476</v>
      </c>
      <c r="M276" s="101">
        <f>SUM(M274:M275)</f>
        <v>3971.3368981481476</v>
      </c>
      <c r="N276" s="76"/>
    </row>
    <row r="277" spans="2:14" ht="6.75" customHeight="1">
      <c r="B277" s="100"/>
      <c r="C277" s="74"/>
      <c r="D277" s="88"/>
      <c r="E277" s="130"/>
      <c r="F277" s="129"/>
      <c r="G277" s="86"/>
      <c r="I277" s="71"/>
      <c r="K277" s="77"/>
      <c r="L277" s="77"/>
      <c r="M277" s="77"/>
      <c r="N277" s="76"/>
    </row>
    <row r="278" spans="2:14" ht="12.6" customHeight="1">
      <c r="B278" s="100" t="s">
        <v>101</v>
      </c>
      <c r="C278" s="74" t="s">
        <v>95</v>
      </c>
      <c r="D278" s="88">
        <v>0.40400000000000003</v>
      </c>
      <c r="E278" s="130">
        <v>0.40400000000000003</v>
      </c>
      <c r="F278" s="129">
        <f>E278-D278</f>
        <v>0</v>
      </c>
      <c r="G278" s="86">
        <f>IF(ISERROR(E278/D278-1)=TRUE,0,(E278/D278-1))</f>
        <v>0</v>
      </c>
      <c r="I278" s="149">
        <f>I275</f>
        <v>1607828.7037037036</v>
      </c>
      <c r="J278" s="57" t="s">
        <v>96</v>
      </c>
      <c r="K278" s="105">
        <f>D278/100*I278</f>
        <v>6495.6279629629626</v>
      </c>
      <c r="L278" s="105">
        <f>E278/100*I278</f>
        <v>6495.6279629629626</v>
      </c>
      <c r="M278" s="105">
        <f>L278</f>
        <v>6495.6279629629626</v>
      </c>
      <c r="N278" s="76"/>
    </row>
    <row r="279" spans="2:14" ht="12.6" customHeight="1">
      <c r="B279" s="100" t="s">
        <v>102</v>
      </c>
      <c r="C279" s="74" t="s">
        <v>95</v>
      </c>
      <c r="D279" s="128">
        <v>2.7E-2</v>
      </c>
      <c r="E279" s="132">
        <v>2.7E-2</v>
      </c>
      <c r="F279" s="128">
        <f>E279-D279</f>
        <v>0</v>
      </c>
      <c r="G279" s="83">
        <f>IF(ISERROR(E279/D279-1)=TRUE,0,(E279/D279-1))</f>
        <v>0</v>
      </c>
      <c r="I279" s="149">
        <f>I278</f>
        <v>1607828.7037037036</v>
      </c>
      <c r="J279" s="57" t="s">
        <v>96</v>
      </c>
      <c r="K279" s="102">
        <f>D279/100*I279</f>
        <v>434.11374999999998</v>
      </c>
      <c r="L279" s="102">
        <f>E279/100*I279</f>
        <v>434.11374999999998</v>
      </c>
      <c r="M279" s="102">
        <f>L279</f>
        <v>434.11374999999998</v>
      </c>
      <c r="N279" s="76"/>
    </row>
    <row r="280" spans="2:14">
      <c r="B280" s="100" t="s">
        <v>98</v>
      </c>
      <c r="C280" s="74"/>
      <c r="D280" s="130">
        <f>SUM(D278:D279)</f>
        <v>0.43100000000000005</v>
      </c>
      <c r="E280" s="130">
        <f>SUM(E278:E279)</f>
        <v>0.43100000000000005</v>
      </c>
      <c r="F280" s="129">
        <f>SUM(F278:F279)</f>
        <v>0</v>
      </c>
      <c r="G280" s="86">
        <f>IF(ISERROR(E280/D280-1)=TRUE,0,(E280/D280-1))</f>
        <v>0</v>
      </c>
      <c r="I280" s="71"/>
      <c r="K280" s="101">
        <f>SUM(K278:K279)</f>
        <v>6929.741712962963</v>
      </c>
      <c r="L280" s="101">
        <f>SUM(L278:L279)</f>
        <v>6929.741712962963</v>
      </c>
      <c r="M280" s="101">
        <f>SUM(M278:M279)</f>
        <v>6929.741712962963</v>
      </c>
      <c r="N280" s="76"/>
    </row>
    <row r="281" spans="2:14" ht="5.85" customHeight="1">
      <c r="B281" s="90"/>
      <c r="C281" s="74"/>
      <c r="D281" s="88"/>
      <c r="E281" s="130"/>
      <c r="F281" s="129"/>
      <c r="G281" s="86"/>
      <c r="I281" s="71"/>
      <c r="K281" s="77"/>
      <c r="L281" s="77"/>
      <c r="M281" s="77"/>
      <c r="N281" s="76"/>
    </row>
    <row r="282" spans="2:14">
      <c r="B282" s="104" t="s">
        <v>133</v>
      </c>
      <c r="C282" s="74" t="s">
        <v>95</v>
      </c>
      <c r="D282" s="88">
        <v>0</v>
      </c>
      <c r="E282" s="130">
        <v>0</v>
      </c>
      <c r="F282" s="129">
        <f>E282-D282</f>
        <v>0</v>
      </c>
      <c r="G282" s="86">
        <v>0</v>
      </c>
      <c r="I282" s="149">
        <f>I279</f>
        <v>1607828.7037037036</v>
      </c>
      <c r="J282" s="57" t="s">
        <v>96</v>
      </c>
      <c r="K282" s="77">
        <f>D282*I282</f>
        <v>0</v>
      </c>
      <c r="L282" s="77">
        <f>E282*I282</f>
        <v>0</v>
      </c>
      <c r="M282" s="77">
        <f>L282</f>
        <v>0</v>
      </c>
      <c r="N282" s="76"/>
    </row>
    <row r="283" spans="2:14" ht="15">
      <c r="B283" s="104" t="s">
        <v>134</v>
      </c>
      <c r="C283" s="74" t="s">
        <v>95</v>
      </c>
      <c r="D283" s="128">
        <v>0</v>
      </c>
      <c r="E283" s="132">
        <v>0</v>
      </c>
      <c r="F283" s="128">
        <f>E283-D283</f>
        <v>0</v>
      </c>
      <c r="G283" s="83">
        <v>0</v>
      </c>
      <c r="I283" s="149">
        <f>I282</f>
        <v>1607828.7037037036</v>
      </c>
      <c r="J283" s="57" t="s">
        <v>96</v>
      </c>
      <c r="K283" s="77">
        <f>D283*I283</f>
        <v>0</v>
      </c>
      <c r="L283" s="77">
        <f>E283*I283</f>
        <v>0</v>
      </c>
      <c r="M283" s="77">
        <f>E283*I283</f>
        <v>0</v>
      </c>
      <c r="N283" s="76"/>
    </row>
    <row r="284" spans="2:14">
      <c r="B284" s="99" t="s">
        <v>104</v>
      </c>
      <c r="C284" s="98" t="s">
        <v>95</v>
      </c>
      <c r="D284" s="97"/>
      <c r="E284" s="152">
        <f>HLOOKUP('Bill Impacts'!$J$16,'Fee Impact'!$C$123:$H$135,8,FALSE)</f>
        <v>0.18250791934012769</v>
      </c>
      <c r="F284" s="151"/>
      <c r="G284" s="95"/>
      <c r="H284" s="93"/>
      <c r="I284" s="150">
        <f>I283</f>
        <v>1607828.7037037036</v>
      </c>
      <c r="J284" s="93" t="s">
        <v>96</v>
      </c>
      <c r="K284" s="91"/>
      <c r="L284" s="91"/>
      <c r="M284" s="91">
        <f>E284/100*I284</f>
        <v>2934.4147136829761</v>
      </c>
      <c r="N284" s="76"/>
    </row>
    <row r="285" spans="2:14">
      <c r="B285" s="100" t="s">
        <v>98</v>
      </c>
      <c r="C285" s="74"/>
      <c r="D285" s="130">
        <f>SUM(D282:D283)</f>
        <v>0</v>
      </c>
      <c r="E285" s="130">
        <f>SUM(E282:E283)</f>
        <v>0</v>
      </c>
      <c r="F285" s="129">
        <f>SUM(F282:F283)</f>
        <v>0</v>
      </c>
      <c r="G285" s="86">
        <v>0</v>
      </c>
      <c r="I285" s="71"/>
      <c r="K285" s="77"/>
      <c r="L285" s="77"/>
      <c r="M285" s="77"/>
      <c r="N285" s="76"/>
    </row>
    <row r="286" spans="2:14" ht="4.3499999999999996" customHeight="1">
      <c r="B286" s="90"/>
      <c r="C286" s="74"/>
      <c r="D286" s="88"/>
      <c r="E286" s="130"/>
      <c r="F286" s="129"/>
      <c r="G286" s="86"/>
      <c r="I286" s="71"/>
      <c r="K286" s="77"/>
      <c r="L286" s="77"/>
      <c r="M286" s="77"/>
      <c r="N286" s="76"/>
    </row>
    <row r="287" spans="2:14" ht="9.6" customHeight="1">
      <c r="B287" s="75" t="s">
        <v>105</v>
      </c>
      <c r="C287" s="74" t="s">
        <v>95</v>
      </c>
      <c r="D287" s="88">
        <f>D270+D276</f>
        <v>8.4808802206665597</v>
      </c>
      <c r="E287" s="88">
        <f>E270+E276</f>
        <v>7.7309403270293906</v>
      </c>
      <c r="F287" s="129">
        <f>E287-D287</f>
        <v>-0.74993989363716906</v>
      </c>
      <c r="G287" s="86">
        <f>IF(ISERROR(E287/D287-1)=TRUE,0,(E287/D287-1))</f>
        <v>-8.8427129510647351E-2</v>
      </c>
      <c r="I287" s="71"/>
      <c r="K287" s="70">
        <f>K270+K276</f>
        <v>136358.02651460696</v>
      </c>
      <c r="L287" s="70">
        <f>L270+L276</f>
        <v>124300.27764418352</v>
      </c>
      <c r="M287" s="70">
        <f>M270+M276</f>
        <v>124300.27764418352</v>
      </c>
      <c r="N287" s="76"/>
    </row>
    <row r="288" spans="2:14" ht="15">
      <c r="B288" s="75" t="s">
        <v>106</v>
      </c>
      <c r="C288" s="74" t="s">
        <v>95</v>
      </c>
      <c r="D288" s="128">
        <f>D271+D280+D282</f>
        <v>2.4917758044143952</v>
      </c>
      <c r="E288" s="128">
        <f>E271+E280+E282</f>
        <v>2.6560364544000508</v>
      </c>
      <c r="F288" s="128">
        <f>E288-D288</f>
        <v>0.16426064998565559</v>
      </c>
      <c r="G288" s="83">
        <f>IF(ISERROR(E288/D288-1)=TRUE,0,(E288/D288-1))</f>
        <v>6.5921119265486716E-2</v>
      </c>
      <c r="I288" s="71"/>
      <c r="K288" s="148">
        <f>K271+K280+K282</f>
        <v>40063.486615318499</v>
      </c>
      <c r="L288" s="148">
        <f>L271+L280+L282</f>
        <v>42704.516494678144</v>
      </c>
      <c r="M288" s="148">
        <f>M271+M280+M282+M284</f>
        <v>45638.931208361122</v>
      </c>
      <c r="N288" s="76"/>
    </row>
    <row r="289" spans="1:14">
      <c r="B289" s="78" t="s">
        <v>107</v>
      </c>
      <c r="C289" s="74"/>
      <c r="D289" s="127">
        <f>D287+D288</f>
        <v>10.972656025080955</v>
      </c>
      <c r="E289" s="127">
        <f>E272+E276+E280+E282</f>
        <v>10.386976781429443</v>
      </c>
      <c r="F289" s="127">
        <f>F272+F276+F280+F282</f>
        <v>-0.58567924365151214</v>
      </c>
      <c r="G289" s="72">
        <f>IF(ISERROR(E289/D289-1)=TRUE,0,(E289/D289-1))</f>
        <v>-5.3376251138537945E-2</v>
      </c>
      <c r="I289" s="71"/>
      <c r="K289" s="80">
        <f>K287+K288</f>
        <v>176421.51312992547</v>
      </c>
      <c r="L289" s="80">
        <f>L287+L288</f>
        <v>167004.79413886165</v>
      </c>
      <c r="M289" s="80">
        <f>M287+M288</f>
        <v>169939.20885254463</v>
      </c>
      <c r="N289" s="76"/>
    </row>
    <row r="290" spans="1:14" ht="7.5" customHeight="1">
      <c r="B290" s="78"/>
      <c r="C290" s="74"/>
      <c r="D290" s="73"/>
      <c r="E290" s="127"/>
      <c r="F290" s="153"/>
      <c r="G290" s="72"/>
      <c r="I290" s="71"/>
      <c r="K290" s="77"/>
      <c r="L290" s="77"/>
      <c r="M290" s="77"/>
      <c r="N290" s="76"/>
    </row>
    <row r="291" spans="1:14" ht="15" hidden="1">
      <c r="A291" s="57">
        <v>10</v>
      </c>
      <c r="B291" s="108" t="s">
        <v>135</v>
      </c>
      <c r="C291" s="74"/>
      <c r="D291" s="73"/>
      <c r="E291" s="127"/>
      <c r="F291" s="129"/>
      <c r="G291" s="107"/>
      <c r="I291" s="71"/>
      <c r="K291" s="77"/>
      <c r="L291" s="77"/>
      <c r="M291" s="77"/>
      <c r="N291" s="76"/>
    </row>
    <row r="292" spans="1:14" hidden="1">
      <c r="B292" s="100" t="s">
        <v>94</v>
      </c>
      <c r="C292" s="74" t="s">
        <v>95</v>
      </c>
      <c r="D292" s="88">
        <v>8.2734652862272995</v>
      </c>
      <c r="E292" s="130">
        <v>7.4631461583590584</v>
      </c>
      <c r="F292" s="129">
        <f>E292-D292</f>
        <v>-0.81031912786824112</v>
      </c>
      <c r="G292" s="86">
        <f>IF(ISERROR(E292/D292-1)=TRUE,0,(E292/D292-1))</f>
        <v>-9.7941926367560384E-2</v>
      </c>
      <c r="I292" s="71"/>
      <c r="K292" s="77"/>
      <c r="L292" s="77"/>
      <c r="M292" s="77"/>
      <c r="N292" s="76"/>
    </row>
    <row r="293" spans="1:14" ht="15" hidden="1">
      <c r="B293" s="104" t="s">
        <v>97</v>
      </c>
      <c r="C293" s="74" t="s">
        <v>95</v>
      </c>
      <c r="D293" s="103">
        <v>2.0607758044143951</v>
      </c>
      <c r="E293" s="132">
        <v>2.2250364544000507</v>
      </c>
      <c r="F293" s="128">
        <f>E293-D293</f>
        <v>0.16426064998565559</v>
      </c>
      <c r="G293" s="86">
        <f>IF(ISERROR(E293/D293-1)=TRUE,0,(E293/D293-1))</f>
        <v>7.9708161185604087E-2</v>
      </c>
      <c r="I293" s="71"/>
      <c r="K293" s="77"/>
      <c r="L293" s="77"/>
      <c r="M293" s="77"/>
      <c r="N293" s="76"/>
    </row>
    <row r="294" spans="1:14" hidden="1">
      <c r="B294" s="100" t="s">
        <v>98</v>
      </c>
      <c r="C294" s="74"/>
      <c r="D294" s="88">
        <f>SUM(D291:D293)</f>
        <v>10.334241090641694</v>
      </c>
      <c r="E294" s="130">
        <f>SUM(E292:E293)</f>
        <v>9.6881826127591086</v>
      </c>
      <c r="F294" s="129">
        <f>E294-D294</f>
        <v>-0.64605847788258508</v>
      </c>
      <c r="G294" s="86">
        <f>IF(ISERROR(E294/D294-1)=TRUE,0,(E294/D294-1))</f>
        <v>-6.2516296283007367E-2</v>
      </c>
      <c r="I294" s="71"/>
      <c r="K294" s="77"/>
      <c r="L294" s="77"/>
      <c r="M294" s="77"/>
      <c r="N294" s="76"/>
    </row>
    <row r="295" spans="1:14" ht="6.6" hidden="1" customHeight="1">
      <c r="B295" s="100"/>
      <c r="C295" s="74"/>
      <c r="D295" s="88"/>
      <c r="E295" s="130"/>
      <c r="F295" s="129"/>
      <c r="G295" s="86"/>
      <c r="I295" s="71"/>
      <c r="K295" s="77"/>
      <c r="L295" s="77"/>
      <c r="M295" s="77"/>
      <c r="N295" s="76"/>
    </row>
    <row r="296" spans="1:14" hidden="1">
      <c r="B296" s="104" t="s">
        <v>99</v>
      </c>
      <c r="C296" s="74" t="s">
        <v>95</v>
      </c>
      <c r="D296" s="88">
        <v>0</v>
      </c>
      <c r="E296" s="130">
        <v>0</v>
      </c>
      <c r="F296" s="129">
        <f>E296-D296</f>
        <v>0</v>
      </c>
      <c r="G296" s="86">
        <f>IF(ISERROR(E296/D296-1)=TRUE,0,(E296/D296-1))</f>
        <v>0</v>
      </c>
      <c r="I296" s="71"/>
      <c r="K296" s="77"/>
      <c r="L296" s="77"/>
      <c r="M296" s="77"/>
      <c r="N296" s="76"/>
    </row>
    <row r="297" spans="1:14" ht="15" hidden="1">
      <c r="B297" s="104" t="s">
        <v>100</v>
      </c>
      <c r="C297" s="74" t="s">
        <v>95</v>
      </c>
      <c r="D297" s="103">
        <v>0.22399999999999998</v>
      </c>
      <c r="E297" s="132">
        <v>0.22399999999999998</v>
      </c>
      <c r="F297" s="128">
        <f>E297-D297</f>
        <v>0</v>
      </c>
      <c r="G297" s="83">
        <f>IF(ISERROR(E297/D297-1)=TRUE,0,(E297/D297-1))</f>
        <v>0</v>
      </c>
      <c r="I297" s="71"/>
      <c r="K297" s="77"/>
      <c r="L297" s="77"/>
      <c r="M297" s="77"/>
      <c r="N297" s="76"/>
    </row>
    <row r="298" spans="1:14" hidden="1">
      <c r="B298" s="100" t="s">
        <v>98</v>
      </c>
      <c r="C298" s="74"/>
      <c r="D298" s="88">
        <f>SUM(D296:D297)</f>
        <v>0.22399999999999998</v>
      </c>
      <c r="E298" s="130">
        <f>SUM(E295:E297)</f>
        <v>0.22399999999999998</v>
      </c>
      <c r="F298" s="129">
        <f>SUM(F296:F297)</f>
        <v>0</v>
      </c>
      <c r="G298" s="86">
        <f>IF(ISERROR(E298/D298-1)=TRUE,0,(E298/D298-1))</f>
        <v>0</v>
      </c>
      <c r="I298" s="71"/>
      <c r="K298" s="77"/>
      <c r="L298" s="77"/>
      <c r="M298" s="77"/>
      <c r="N298" s="76"/>
    </row>
    <row r="299" spans="1:14" ht="3.75" hidden="1" customHeight="1">
      <c r="B299" s="100"/>
      <c r="C299" s="74"/>
      <c r="D299" s="88"/>
      <c r="E299" s="130"/>
      <c r="F299" s="129"/>
      <c r="G299" s="86"/>
      <c r="I299" s="71"/>
      <c r="K299" s="77"/>
      <c r="L299" s="77"/>
      <c r="M299" s="77"/>
      <c r="N299" s="76"/>
    </row>
    <row r="300" spans="1:14" ht="11.1" hidden="1" customHeight="1">
      <c r="B300" s="100" t="s">
        <v>101</v>
      </c>
      <c r="C300" s="74" t="s">
        <v>95</v>
      </c>
      <c r="D300" s="130">
        <v>0.40400000000000003</v>
      </c>
      <c r="E300" s="130">
        <f>E$278</f>
        <v>0.40400000000000003</v>
      </c>
      <c r="F300" s="129">
        <f>E300-D300</f>
        <v>0</v>
      </c>
      <c r="G300" s="86">
        <f>IF(ISERROR(E300/D300-1)=TRUE,0,(E300/D300-1))</f>
        <v>0</v>
      </c>
      <c r="I300" s="71"/>
      <c r="K300" s="77"/>
      <c r="L300" s="77"/>
      <c r="M300" s="77"/>
      <c r="N300" s="76"/>
    </row>
    <row r="301" spans="1:14" ht="11.1" hidden="1" customHeight="1">
      <c r="B301" s="100" t="s">
        <v>102</v>
      </c>
      <c r="C301" s="74" t="s">
        <v>95</v>
      </c>
      <c r="D301" s="103">
        <v>2.7E-2</v>
      </c>
      <c r="E301" s="103">
        <f>E$279</f>
        <v>2.7E-2</v>
      </c>
      <c r="F301" s="128">
        <f>E301-D301</f>
        <v>0</v>
      </c>
      <c r="G301" s="83">
        <f>IF(ISERROR(E301/D301-1)=TRUE,0,(E301/D301-1))</f>
        <v>0</v>
      </c>
      <c r="I301" s="71"/>
      <c r="K301" s="77"/>
      <c r="L301" s="77"/>
      <c r="M301" s="77"/>
      <c r="N301" s="76"/>
    </row>
    <row r="302" spans="1:14" hidden="1">
      <c r="B302" s="100" t="s">
        <v>98</v>
      </c>
      <c r="C302" s="74"/>
      <c r="D302" s="130">
        <f>SUM(D300:D301)</f>
        <v>0.43100000000000005</v>
      </c>
      <c r="E302" s="130">
        <f>SUM(E300:E301)</f>
        <v>0.43100000000000005</v>
      </c>
      <c r="F302" s="129">
        <f>SUM(F300:F301)</f>
        <v>0</v>
      </c>
      <c r="G302" s="86">
        <f>IF(ISERROR(E302/D302-1)=TRUE,0,(E302/D302-1))</f>
        <v>0</v>
      </c>
      <c r="I302" s="71"/>
      <c r="K302" s="77"/>
      <c r="L302" s="77"/>
      <c r="M302" s="77"/>
      <c r="N302" s="76"/>
    </row>
    <row r="303" spans="1:14" ht="4.3499999999999996" hidden="1" customHeight="1">
      <c r="B303" s="90"/>
      <c r="C303" s="74"/>
      <c r="D303" s="103"/>
      <c r="E303" s="103"/>
      <c r="F303" s="128"/>
      <c r="G303" s="83"/>
      <c r="I303" s="71"/>
      <c r="K303" s="77"/>
      <c r="L303" s="77"/>
      <c r="M303" s="77"/>
      <c r="N303" s="76"/>
    </row>
    <row r="304" spans="1:14" ht="11.85" hidden="1" customHeight="1">
      <c r="B304" s="104" t="s">
        <v>133</v>
      </c>
      <c r="C304" s="74" t="s">
        <v>95</v>
      </c>
      <c r="D304" s="88">
        <v>0</v>
      </c>
      <c r="E304" s="130">
        <f>E$282</f>
        <v>0</v>
      </c>
      <c r="F304" s="129">
        <f>E304-D304</f>
        <v>0</v>
      </c>
      <c r="G304" s="86">
        <v>0</v>
      </c>
      <c r="I304" s="71"/>
      <c r="K304" s="77"/>
      <c r="L304" s="77"/>
      <c r="M304" s="77"/>
      <c r="N304" s="76"/>
    </row>
    <row r="305" spans="1:14" ht="11.85" hidden="1" customHeight="1">
      <c r="B305" s="104" t="s">
        <v>134</v>
      </c>
      <c r="C305" s="74" t="s">
        <v>95</v>
      </c>
      <c r="D305" s="128">
        <v>0</v>
      </c>
      <c r="E305" s="132">
        <f>E$282</f>
        <v>0</v>
      </c>
      <c r="F305" s="128">
        <f>E305-D305</f>
        <v>0</v>
      </c>
      <c r="G305" s="83">
        <v>0</v>
      </c>
      <c r="I305" s="71"/>
      <c r="K305" s="77"/>
      <c r="L305" s="77"/>
      <c r="M305" s="77"/>
      <c r="N305" s="76"/>
    </row>
    <row r="306" spans="1:14" ht="15" hidden="1">
      <c r="B306" s="99" t="s">
        <v>104</v>
      </c>
      <c r="C306" s="74"/>
      <c r="D306" s="128"/>
      <c r="E306" s="130">
        <f>HLOOKUP('Bill Impacts'!$J$16,'Fee Impact'!$C$123:$H$135,8,FALSE)</f>
        <v>0.18250791934012769</v>
      </c>
      <c r="F306" s="128"/>
      <c r="G306" s="83"/>
      <c r="I306" s="71"/>
      <c r="K306" s="77"/>
      <c r="L306" s="77"/>
      <c r="M306" s="77"/>
      <c r="N306" s="76"/>
    </row>
    <row r="307" spans="1:14" ht="11.85" hidden="1" customHeight="1">
      <c r="B307" s="100" t="s">
        <v>98</v>
      </c>
      <c r="C307" s="74"/>
      <c r="D307" s="130">
        <f>SUM(D304:D305)</f>
        <v>0</v>
      </c>
      <c r="E307" s="130">
        <f>SUM(E303:E305)</f>
        <v>0</v>
      </c>
      <c r="F307" s="129">
        <f>SUM(F304:F305)</f>
        <v>0</v>
      </c>
      <c r="G307" s="86">
        <v>0</v>
      </c>
      <c r="I307" s="71"/>
      <c r="K307" s="77"/>
      <c r="L307" s="77"/>
      <c r="M307" s="77"/>
      <c r="N307" s="76"/>
    </row>
    <row r="308" spans="1:14" ht="6" hidden="1" customHeight="1">
      <c r="B308" s="90"/>
      <c r="C308" s="74"/>
      <c r="D308" s="88"/>
      <c r="E308" s="130"/>
      <c r="F308" s="129"/>
      <c r="G308" s="86"/>
      <c r="I308" s="71"/>
      <c r="K308" s="77"/>
      <c r="L308" s="77"/>
      <c r="M308" s="77"/>
      <c r="N308" s="76"/>
    </row>
    <row r="309" spans="1:14" hidden="1">
      <c r="B309" s="75" t="s">
        <v>105</v>
      </c>
      <c r="C309" s="74" t="s">
        <v>95</v>
      </c>
      <c r="D309" s="88">
        <f>D292+D298</f>
        <v>8.4974652862272997</v>
      </c>
      <c r="E309" s="88">
        <f>E292+E298</f>
        <v>7.6871461583590586</v>
      </c>
      <c r="F309" s="129">
        <f>E309-D309</f>
        <v>-0.81031912786824112</v>
      </c>
      <c r="G309" s="86">
        <f>IF(ISERROR(E309/D309-1)=TRUE,0,(E309/D309-1))</f>
        <v>-9.5360098638073487E-2</v>
      </c>
      <c r="I309" s="71"/>
      <c r="K309" s="77"/>
      <c r="L309" s="77"/>
      <c r="M309" s="77"/>
      <c r="N309" s="76"/>
    </row>
    <row r="310" spans="1:14" ht="15" hidden="1">
      <c r="B310" s="75" t="s">
        <v>106</v>
      </c>
      <c r="C310" s="74" t="s">
        <v>95</v>
      </c>
      <c r="D310" s="85">
        <f>D293+D302+D304</f>
        <v>2.4917758044143952</v>
      </c>
      <c r="E310" s="85">
        <f>E293+E302+E304</f>
        <v>2.6560364544000508</v>
      </c>
      <c r="F310" s="128">
        <f>E310-D310</f>
        <v>0.16426064998565559</v>
      </c>
      <c r="G310" s="83">
        <f>IF(ISERROR(E310/D310-1)=TRUE,0,(E310/D310-1))</f>
        <v>6.5921119265486716E-2</v>
      </c>
      <c r="I310" s="71"/>
      <c r="K310" s="77"/>
      <c r="L310" s="77"/>
      <c r="M310" s="77"/>
      <c r="N310" s="76"/>
    </row>
    <row r="311" spans="1:14" hidden="1">
      <c r="B311" s="78" t="s">
        <v>113</v>
      </c>
      <c r="C311" s="74" t="s">
        <v>95</v>
      </c>
      <c r="D311" s="127">
        <f>D309+D310</f>
        <v>10.989241090641695</v>
      </c>
      <c r="E311" s="127">
        <f>E309+E310</f>
        <v>10.34318261275911</v>
      </c>
      <c r="F311" s="127">
        <f>F294+F298+F302+F304</f>
        <v>-0.64605847788258508</v>
      </c>
      <c r="G311" s="72">
        <f>IF(ISERROR(E311/D311-1)=TRUE,0,(E311/D311-1))</f>
        <v>-5.8790090467007783E-2</v>
      </c>
      <c r="I311" s="71"/>
      <c r="K311" s="77"/>
      <c r="L311" s="77"/>
      <c r="M311" s="77"/>
      <c r="N311" s="76"/>
    </row>
    <row r="312" spans="1:14">
      <c r="B312" s="78"/>
      <c r="C312" s="74"/>
      <c r="D312" s="127"/>
      <c r="E312" s="127"/>
      <c r="F312" s="127"/>
      <c r="G312" s="72"/>
      <c r="I312" s="71"/>
      <c r="K312" s="77"/>
      <c r="L312" s="77"/>
      <c r="M312" s="77"/>
      <c r="N312" s="76"/>
    </row>
    <row r="313" spans="1:14">
      <c r="B313" s="78" t="s">
        <v>108</v>
      </c>
      <c r="C313" s="74"/>
      <c r="D313" s="127"/>
      <c r="E313" s="127"/>
      <c r="F313" s="127"/>
      <c r="G313" s="72"/>
      <c r="I313" s="71"/>
      <c r="K313" s="77"/>
      <c r="L313" s="77"/>
      <c r="M313" s="77"/>
      <c r="N313" s="76"/>
    </row>
    <row r="314" spans="1:14">
      <c r="B314" s="75" t="s">
        <v>122</v>
      </c>
      <c r="C314" s="74"/>
      <c r="D314" s="127"/>
      <c r="E314" s="127"/>
      <c r="F314" s="127"/>
      <c r="G314" s="72"/>
      <c r="I314" s="71"/>
      <c r="K314" s="77">
        <f>K260</f>
        <v>33154.777665233363</v>
      </c>
      <c r="L314" s="77">
        <f>L260</f>
        <v>35797.484027446655</v>
      </c>
      <c r="M314" s="77">
        <f>M260</f>
        <v>35797.484027446655</v>
      </c>
      <c r="N314" s="76"/>
    </row>
    <row r="315" spans="1:14">
      <c r="B315" s="75" t="s">
        <v>105</v>
      </c>
      <c r="C315" s="74"/>
      <c r="D315" s="127"/>
      <c r="E315" s="127"/>
      <c r="F315" s="127"/>
      <c r="G315" s="72"/>
      <c r="I315" s="71"/>
      <c r="K315" s="77">
        <f t="shared" ref="K315:M316" si="10">K287</f>
        <v>136358.02651460696</v>
      </c>
      <c r="L315" s="77">
        <f t="shared" si="10"/>
        <v>124300.27764418352</v>
      </c>
      <c r="M315" s="77">
        <f t="shared" si="10"/>
        <v>124300.27764418352</v>
      </c>
      <c r="N315" s="76"/>
    </row>
    <row r="316" spans="1:14">
      <c r="B316" s="75" t="s">
        <v>106</v>
      </c>
      <c r="C316" s="74"/>
      <c r="D316" s="127"/>
      <c r="E316" s="127"/>
      <c r="F316" s="127"/>
      <c r="G316" s="72"/>
      <c r="I316" s="71"/>
      <c r="K316" s="77">
        <f t="shared" si="10"/>
        <v>40063.486615318499</v>
      </c>
      <c r="L316" s="77">
        <f t="shared" si="10"/>
        <v>42704.516494678144</v>
      </c>
      <c r="M316" s="77">
        <f t="shared" si="10"/>
        <v>45638.931208361122</v>
      </c>
      <c r="N316" s="76"/>
    </row>
    <row r="317" spans="1:14">
      <c r="B317" s="78" t="s">
        <v>110</v>
      </c>
      <c r="C317" s="74"/>
      <c r="D317" s="127"/>
      <c r="E317" s="127"/>
      <c r="F317" s="127"/>
      <c r="G317" s="72"/>
      <c r="I317" s="71"/>
      <c r="K317" s="158">
        <f>SUM(K314:K316)</f>
        <v>209576.29079515883</v>
      </c>
      <c r="L317" s="158">
        <f>SUM(L314:L316)</f>
        <v>202802.2781663083</v>
      </c>
      <c r="M317" s="158">
        <f>SUM(M314:M316)</f>
        <v>205736.69287999129</v>
      </c>
      <c r="N317" s="147">
        <f>M317/L317-1</f>
        <v>1.4469338018366029E-2</v>
      </c>
    </row>
    <row r="318" spans="1:14">
      <c r="B318" s="78"/>
      <c r="C318" s="74"/>
      <c r="D318" s="127"/>
      <c r="E318" s="127"/>
      <c r="F318" s="127"/>
      <c r="G318" s="72"/>
      <c r="I318" s="71"/>
      <c r="K318" s="77"/>
      <c r="L318" s="77"/>
      <c r="M318" s="77"/>
      <c r="N318" s="76"/>
    </row>
    <row r="319" spans="1:14" ht="5.0999999999999996" customHeight="1">
      <c r="B319" s="100"/>
      <c r="C319" s="74"/>
      <c r="D319" s="88"/>
      <c r="E319" s="130"/>
      <c r="F319" s="129"/>
      <c r="G319" s="86"/>
      <c r="I319" s="71"/>
      <c r="K319" s="77"/>
      <c r="L319" s="77"/>
      <c r="M319" s="77"/>
      <c r="N319" s="76"/>
    </row>
    <row r="320" spans="1:14" ht="20.25">
      <c r="A320" s="57">
        <v>12</v>
      </c>
      <c r="B320" s="138" t="s">
        <v>136</v>
      </c>
      <c r="C320" s="137"/>
      <c r="D320" s="136"/>
      <c r="E320" s="136"/>
      <c r="F320" s="135"/>
      <c r="G320" s="134"/>
      <c r="I320" s="157"/>
      <c r="J320" s="156"/>
      <c r="K320" s="155"/>
      <c r="L320" s="155"/>
      <c r="M320" s="155"/>
      <c r="N320" s="154"/>
    </row>
    <row r="321" spans="2:14" ht="7.35" customHeight="1">
      <c r="B321" s="117"/>
      <c r="C321" s="74"/>
      <c r="D321" s="88"/>
      <c r="E321" s="88"/>
      <c r="F321" s="87"/>
      <c r="G321" s="86"/>
      <c r="I321" s="71"/>
      <c r="K321" s="77"/>
      <c r="L321" s="77"/>
      <c r="M321" s="77"/>
      <c r="N321" s="76"/>
    </row>
    <row r="322" spans="2:14" ht="15">
      <c r="B322" s="108" t="s">
        <v>124</v>
      </c>
      <c r="C322" s="74" t="s">
        <v>125</v>
      </c>
      <c r="D322" s="73">
        <v>11.248018057836715</v>
      </c>
      <c r="E322" s="127">
        <v>12.22649519774769</v>
      </c>
      <c r="F322" s="153">
        <f>E322-D322</f>
        <v>0.97847713991097507</v>
      </c>
      <c r="G322" s="72">
        <f>IF(ISERROR(E322/D322-1)=TRUE,0,(E322/D322-1))</f>
        <v>8.6991071216253157E-2</v>
      </c>
      <c r="I322" s="106">
        <v>8821.6245788143806</v>
      </c>
      <c r="J322" s="57" t="s">
        <v>117</v>
      </c>
      <c r="K322" s="77">
        <f>D322*I322</f>
        <v>99225.792561960363</v>
      </c>
      <c r="L322" s="77">
        <f>E322*I322</f>
        <v>107857.55054920701</v>
      </c>
      <c r="M322" s="77">
        <f>L322</f>
        <v>107857.55054920701</v>
      </c>
      <c r="N322" s="76"/>
    </row>
    <row r="323" spans="2:14" ht="7.35" customHeight="1">
      <c r="B323" s="104"/>
      <c r="C323" s="74"/>
      <c r="D323" s="73"/>
      <c r="E323" s="127"/>
      <c r="F323" s="129"/>
      <c r="G323" s="107"/>
      <c r="I323" s="71"/>
      <c r="K323" s="77"/>
      <c r="L323" s="77"/>
      <c r="M323" s="77"/>
      <c r="N323" s="76"/>
    </row>
    <row r="324" spans="2:14" ht="15">
      <c r="B324" s="108" t="s">
        <v>118</v>
      </c>
      <c r="C324" s="74" t="s">
        <v>119</v>
      </c>
      <c r="D324" s="73">
        <v>-32</v>
      </c>
      <c r="E324" s="127">
        <v>-32</v>
      </c>
      <c r="F324" s="153">
        <f>E324-D324</f>
        <v>0</v>
      </c>
      <c r="G324" s="72">
        <f>IF(ISERROR(E324/D324-1)=TRUE,0,(E324/D324-1))</f>
        <v>0</v>
      </c>
      <c r="I324" s="71"/>
      <c r="K324" s="77"/>
      <c r="L324" s="77"/>
      <c r="M324" s="77"/>
      <c r="N324" s="76"/>
    </row>
    <row r="325" spans="2:14" ht="5.85" customHeight="1">
      <c r="B325" s="104"/>
      <c r="C325" s="74"/>
      <c r="D325" s="73"/>
      <c r="E325" s="127"/>
      <c r="F325" s="129"/>
      <c r="G325" s="107"/>
      <c r="I325" s="71"/>
      <c r="K325" s="77"/>
      <c r="L325" s="77"/>
      <c r="M325" s="77"/>
      <c r="N325" s="76"/>
    </row>
    <row r="326" spans="2:14" ht="15">
      <c r="B326" s="113" t="s">
        <v>77</v>
      </c>
      <c r="C326" s="74"/>
      <c r="D326" s="88"/>
      <c r="E326" s="130"/>
      <c r="F326" s="129"/>
      <c r="G326" s="107"/>
      <c r="I326" s="71"/>
      <c r="K326" s="77"/>
      <c r="L326" s="77"/>
      <c r="M326" s="77"/>
      <c r="N326" s="76"/>
    </row>
    <row r="327" spans="2:14">
      <c r="B327" s="100" t="s">
        <v>94</v>
      </c>
      <c r="C327" s="74" t="s">
        <v>95</v>
      </c>
      <c r="D327" s="88">
        <v>9.0045792137604472</v>
      </c>
      <c r="E327" s="130">
        <v>8.9236933937276532</v>
      </c>
      <c r="F327" s="129">
        <f>E327-D327</f>
        <v>-8.0885820032793987E-2</v>
      </c>
      <c r="G327" s="86">
        <f>IF(ISERROR(E327/D327-1)=TRUE,0,(E327/D327-1))</f>
        <v>-8.9827429036536399E-3</v>
      </c>
      <c r="I327" s="133">
        <v>2340431.0107058561</v>
      </c>
      <c r="J327" s="57" t="s">
        <v>96</v>
      </c>
      <c r="K327" s="105">
        <f>D327/100*I327</f>
        <v>210745.96430242306</v>
      </c>
      <c r="L327" s="105">
        <f>E327/100*I327</f>
        <v>208852.88748711185</v>
      </c>
      <c r="M327" s="105">
        <f>L327</f>
        <v>208852.88748711185</v>
      </c>
      <c r="N327" s="76"/>
    </row>
    <row r="328" spans="2:14" ht="15">
      <c r="B328" s="104" t="s">
        <v>97</v>
      </c>
      <c r="C328" s="74" t="s">
        <v>95</v>
      </c>
      <c r="D328" s="103">
        <v>2.5950154073764327</v>
      </c>
      <c r="E328" s="132">
        <v>2.8207585774867905</v>
      </c>
      <c r="F328" s="128">
        <f>E328-D328</f>
        <v>0.22574317011035783</v>
      </c>
      <c r="G328" s="86">
        <f>IF(ISERROR(E328/D328-1)=TRUE,0,(E328/D328-1))</f>
        <v>8.6991071216253379E-2</v>
      </c>
      <c r="I328" s="149">
        <f>I327</f>
        <v>2340431.0107058561</v>
      </c>
      <c r="J328" s="57" t="s">
        <v>96</v>
      </c>
      <c r="K328" s="102">
        <f>D328/100*I328</f>
        <v>60734.545326832937</v>
      </c>
      <c r="L328" s="102">
        <f>E328/100*I328</f>
        <v>66017.908484646221</v>
      </c>
      <c r="M328" s="102">
        <f>L328</f>
        <v>66017.908484646221</v>
      </c>
      <c r="N328" s="76"/>
    </row>
    <row r="329" spans="2:14">
      <c r="B329" s="100" t="s">
        <v>98</v>
      </c>
      <c r="C329" s="74"/>
      <c r="D329" s="88">
        <f>SUM(D326:D328)</f>
        <v>11.59959462113688</v>
      </c>
      <c r="E329" s="130">
        <f>SUM(E327:E328)</f>
        <v>11.744451971214444</v>
      </c>
      <c r="F329" s="129">
        <f>SUM(F327:F328)</f>
        <v>0.14485735007756384</v>
      </c>
      <c r="G329" s="86">
        <f>IF(ISERROR(E329/D329-1)=TRUE,0,(E329/D329-1))</f>
        <v>1.2488139009065202E-2</v>
      </c>
      <c r="I329" s="149"/>
      <c r="K329" s="101">
        <f>SUM(K327:K328)</f>
        <v>271480.50962925598</v>
      </c>
      <c r="L329" s="101">
        <f>SUM(L327:L328)</f>
        <v>274870.79597175808</v>
      </c>
      <c r="M329" s="101">
        <f>SUM(M327:M328)</f>
        <v>274870.79597175808</v>
      </c>
      <c r="N329" s="76"/>
    </row>
    <row r="330" spans="2:14" ht="4.3499999999999996" customHeight="1">
      <c r="B330" s="100"/>
      <c r="C330" s="74"/>
      <c r="D330" s="88"/>
      <c r="E330" s="130"/>
      <c r="F330" s="129"/>
      <c r="G330" s="86"/>
      <c r="I330" s="71"/>
      <c r="K330" s="77"/>
      <c r="L330" s="77"/>
      <c r="M330" s="77"/>
      <c r="N330" s="76"/>
    </row>
    <row r="331" spans="2:14">
      <c r="B331" s="104" t="s">
        <v>99</v>
      </c>
      <c r="C331" s="74" t="s">
        <v>95</v>
      </c>
      <c r="D331" s="88">
        <v>0</v>
      </c>
      <c r="E331" s="130">
        <v>0</v>
      </c>
      <c r="F331" s="129">
        <f>E331-D331</f>
        <v>0</v>
      </c>
      <c r="G331" s="86">
        <f>IF(ISERROR(E331/D331-1)=TRUE,0,(E331/D331-1))</f>
        <v>0</v>
      </c>
      <c r="I331" s="149">
        <f>I328</f>
        <v>2340431.0107058561</v>
      </c>
      <c r="J331" s="57" t="s">
        <v>96</v>
      </c>
      <c r="K331" s="105">
        <f>D331/100*I331</f>
        <v>0</v>
      </c>
      <c r="L331" s="105">
        <f>E331/100*I331</f>
        <v>0</v>
      </c>
      <c r="M331" s="105">
        <f>L331</f>
        <v>0</v>
      </c>
      <c r="N331" s="76"/>
    </row>
    <row r="332" spans="2:14" ht="15">
      <c r="B332" s="104" t="s">
        <v>100</v>
      </c>
      <c r="C332" s="74" t="s">
        <v>95</v>
      </c>
      <c r="D332" s="103">
        <v>0.105</v>
      </c>
      <c r="E332" s="132">
        <v>0.105</v>
      </c>
      <c r="F332" s="128">
        <f>E332-D332</f>
        <v>0</v>
      </c>
      <c r="G332" s="86">
        <f>IF(ISERROR(E332/D332-1)=TRUE,0,(E332/D332-1))</f>
        <v>0</v>
      </c>
      <c r="I332" s="149">
        <f>I331</f>
        <v>2340431.0107058561</v>
      </c>
      <c r="J332" s="57" t="s">
        <v>96</v>
      </c>
      <c r="K332" s="102">
        <f>D332/100*I332</f>
        <v>2457.4525612411489</v>
      </c>
      <c r="L332" s="102">
        <f>E332/100*I332</f>
        <v>2457.4525612411489</v>
      </c>
      <c r="M332" s="102">
        <f>L332</f>
        <v>2457.4525612411489</v>
      </c>
      <c r="N332" s="76"/>
    </row>
    <row r="333" spans="2:14">
      <c r="B333" s="100" t="s">
        <v>98</v>
      </c>
      <c r="C333" s="74"/>
      <c r="D333" s="88">
        <f>SUM(D331:D332)</f>
        <v>0.105</v>
      </c>
      <c r="E333" s="130">
        <f>SUM(E331:E332)</f>
        <v>0.105</v>
      </c>
      <c r="F333" s="129">
        <f>SUM(F330:F332)</f>
        <v>0</v>
      </c>
      <c r="G333" s="86">
        <f>IF(ISERROR(E333/D333-1)=TRUE,0,(E333/D333-1))</f>
        <v>0</v>
      </c>
      <c r="I333" s="149"/>
      <c r="K333" s="101">
        <f>SUM(K331:K332)</f>
        <v>2457.4525612411489</v>
      </c>
      <c r="L333" s="101">
        <f>SUM(L331:L332)</f>
        <v>2457.4525612411489</v>
      </c>
      <c r="M333" s="101">
        <f>SUM(M331:M332)</f>
        <v>2457.4525612411489</v>
      </c>
      <c r="N333" s="76"/>
    </row>
    <row r="334" spans="2:14" ht="6.6" customHeight="1">
      <c r="B334" s="100"/>
      <c r="C334" s="74"/>
      <c r="D334" s="88"/>
      <c r="E334" s="130"/>
      <c r="F334" s="129"/>
      <c r="G334" s="86"/>
      <c r="I334" s="71"/>
      <c r="K334" s="77"/>
      <c r="L334" s="77"/>
      <c r="M334" s="77"/>
      <c r="N334" s="76"/>
    </row>
    <row r="335" spans="2:14" ht="13.5" customHeight="1">
      <c r="B335" s="100" t="s">
        <v>101</v>
      </c>
      <c r="C335" s="74" t="s">
        <v>95</v>
      </c>
      <c r="D335" s="88">
        <v>0.65</v>
      </c>
      <c r="E335" s="130">
        <v>0.65</v>
      </c>
      <c r="F335" s="129">
        <f>E335-D335</f>
        <v>0</v>
      </c>
      <c r="G335" s="86">
        <f>IF(ISERROR(E335/D335-1)=TRUE,0,(E335/D335-1))</f>
        <v>0</v>
      </c>
      <c r="I335" s="149">
        <f>I332</f>
        <v>2340431.0107058561</v>
      </c>
      <c r="J335" s="57" t="s">
        <v>96</v>
      </c>
      <c r="K335" s="105">
        <f>D335/100*I335</f>
        <v>15212.801569588066</v>
      </c>
      <c r="L335" s="105">
        <f>E335/100*I335</f>
        <v>15212.801569588066</v>
      </c>
      <c r="M335" s="105">
        <f>L335</f>
        <v>15212.801569588066</v>
      </c>
      <c r="N335" s="76"/>
    </row>
    <row r="336" spans="2:14" ht="13.5" customHeight="1">
      <c r="B336" s="100" t="s">
        <v>102</v>
      </c>
      <c r="C336" s="74" t="s">
        <v>95</v>
      </c>
      <c r="D336" s="128">
        <v>-2.3E-2</v>
      </c>
      <c r="E336" s="132">
        <v>-2.3E-2</v>
      </c>
      <c r="F336" s="128">
        <f>E336-D336</f>
        <v>0</v>
      </c>
      <c r="G336" s="83">
        <f>IF(ISERROR(E336/D336-1)=TRUE,0,(E336/D336-1))</f>
        <v>0</v>
      </c>
      <c r="I336" s="149">
        <f>I335</f>
        <v>2340431.0107058561</v>
      </c>
      <c r="J336" s="57" t="s">
        <v>96</v>
      </c>
      <c r="K336" s="102">
        <f>D336/100*I336</f>
        <v>-538.29913246234696</v>
      </c>
      <c r="L336" s="102">
        <f>E336/100*I336</f>
        <v>-538.29913246234696</v>
      </c>
      <c r="M336" s="102">
        <f>L336</f>
        <v>-538.29913246234696</v>
      </c>
      <c r="N336" s="76"/>
    </row>
    <row r="337" spans="1:14">
      <c r="B337" s="100" t="s">
        <v>98</v>
      </c>
      <c r="C337" s="74"/>
      <c r="D337" s="130">
        <f>SUM(D335:D336)</f>
        <v>0.627</v>
      </c>
      <c r="E337" s="130">
        <f>SUM(E335:E336)</f>
        <v>0.627</v>
      </c>
      <c r="F337" s="129">
        <f>SUM(F335:F336)</f>
        <v>0</v>
      </c>
      <c r="G337" s="86">
        <f>IF(ISERROR(E337/D337-1)=TRUE,0,(E337/D337-1))</f>
        <v>0</v>
      </c>
      <c r="I337" s="71"/>
      <c r="K337" s="101">
        <f>SUM(K335:K336)</f>
        <v>14674.502437125719</v>
      </c>
      <c r="L337" s="101">
        <f>SUM(L335:L336)</f>
        <v>14674.502437125719</v>
      </c>
      <c r="M337" s="101">
        <f>SUM(M335:M336)</f>
        <v>14674.502437125719</v>
      </c>
      <c r="N337" s="86"/>
    </row>
    <row r="338" spans="1:14" ht="5.0999999999999996" customHeight="1">
      <c r="B338" s="90"/>
      <c r="C338" s="74"/>
      <c r="D338" s="88"/>
      <c r="E338" s="130"/>
      <c r="F338" s="129"/>
      <c r="G338" s="86"/>
      <c r="I338" s="71"/>
      <c r="K338" s="77"/>
      <c r="L338" s="77"/>
      <c r="M338" s="77"/>
      <c r="N338" s="76"/>
    </row>
    <row r="339" spans="1:14" ht="15.6" customHeight="1">
      <c r="B339" s="104" t="s">
        <v>103</v>
      </c>
      <c r="C339" s="74" t="s">
        <v>95</v>
      </c>
      <c r="D339" s="130">
        <v>0</v>
      </c>
      <c r="E339" s="88">
        <v>0</v>
      </c>
      <c r="F339" s="129">
        <f>E339-D339</f>
        <v>0</v>
      </c>
      <c r="G339" s="86">
        <f>IF(ISERROR(E339/D339-1)=TRUE,0,(E339/D339-1))</f>
        <v>0</v>
      </c>
      <c r="I339" s="149">
        <f>I336</f>
        <v>2340431.0107058561</v>
      </c>
      <c r="J339" s="57" t="s">
        <v>96</v>
      </c>
      <c r="K339" s="105">
        <f>D339/100*I339</f>
        <v>0</v>
      </c>
      <c r="L339" s="105">
        <f>E339/100*I339</f>
        <v>0</v>
      </c>
      <c r="M339" s="105">
        <f>L339</f>
        <v>0</v>
      </c>
      <c r="N339" s="76"/>
    </row>
    <row r="340" spans="1:14" ht="18" customHeight="1">
      <c r="B340" s="99" t="s">
        <v>104</v>
      </c>
      <c r="C340" s="98" t="s">
        <v>95</v>
      </c>
      <c r="D340" s="97"/>
      <c r="E340" s="152">
        <f>HLOOKUP('Bill Impacts'!$J$16,'Fee Impact'!$C$123:$H$135,10,FALSE)</f>
        <v>0.1819894727727128</v>
      </c>
      <c r="F340" s="151"/>
      <c r="G340" s="95"/>
      <c r="H340" s="93"/>
      <c r="I340" s="150">
        <f>I339</f>
        <v>2340431.0107058561</v>
      </c>
      <c r="J340" s="93" t="s">
        <v>96</v>
      </c>
      <c r="K340" s="91"/>
      <c r="L340" s="91"/>
      <c r="M340" s="91">
        <f>E340/100*I340</f>
        <v>4259.3380569926612</v>
      </c>
      <c r="N340" s="76"/>
    </row>
    <row r="341" spans="1:14" ht="18" customHeight="1">
      <c r="B341" s="75" t="s">
        <v>105</v>
      </c>
      <c r="C341" s="74" t="s">
        <v>95</v>
      </c>
      <c r="D341" s="88">
        <f>D327+D333</f>
        <v>9.1095792137604477</v>
      </c>
      <c r="E341" s="88">
        <f>E327+E333</f>
        <v>9.0286933937276537</v>
      </c>
      <c r="F341" s="129">
        <f>E341-D341</f>
        <v>-8.0885820032793987E-2</v>
      </c>
      <c r="G341" s="86">
        <f>IF(ISERROR(E341/D341-1)=TRUE,0,(E341/D341-1))</f>
        <v>-8.8792048605946805E-3</v>
      </c>
      <c r="I341" s="149"/>
      <c r="K341" s="70">
        <f>K327+K333</f>
        <v>213203.4168636642</v>
      </c>
      <c r="L341" s="70">
        <f>L327+L333</f>
        <v>211310.34004835298</v>
      </c>
      <c r="M341" s="70">
        <f>M327+M333</f>
        <v>211310.34004835298</v>
      </c>
      <c r="N341" s="76"/>
    </row>
    <row r="342" spans="1:14" ht="15.6" customHeight="1">
      <c r="B342" s="75" t="s">
        <v>106</v>
      </c>
      <c r="C342" s="74" t="s">
        <v>95</v>
      </c>
      <c r="D342" s="128">
        <f>D328+D337+D339</f>
        <v>3.2220154073764329</v>
      </c>
      <c r="E342" s="128">
        <f>E328+E337+E339</f>
        <v>3.4477585774867903</v>
      </c>
      <c r="F342" s="128">
        <f>E342-D342</f>
        <v>0.22574317011035738</v>
      </c>
      <c r="G342" s="83">
        <f>IF(ISERROR(E342/D342-1)=TRUE,0,(E342/D342-1))</f>
        <v>7.0062722106649211E-2</v>
      </c>
      <c r="I342" s="149"/>
      <c r="K342" s="148">
        <f>K328+K337+K339+K340</f>
        <v>75409.047763958661</v>
      </c>
      <c r="L342" s="148">
        <f>L328+L337+L339</f>
        <v>80692.410921771938</v>
      </c>
      <c r="M342" s="148">
        <f>M328+M337+M339+M340</f>
        <v>84951.748978764605</v>
      </c>
      <c r="N342" s="76"/>
    </row>
    <row r="343" spans="1:14">
      <c r="B343" s="78" t="s">
        <v>107</v>
      </c>
      <c r="C343" s="74"/>
      <c r="D343" s="127">
        <f>D341+D342</f>
        <v>12.33159462113688</v>
      </c>
      <c r="E343" s="127">
        <f>E329+E333+E337+E339</f>
        <v>12.476451971214445</v>
      </c>
      <c r="F343" s="127">
        <f>F329+F333+F337+F339</f>
        <v>0.14485735007756384</v>
      </c>
      <c r="G343" s="72">
        <f>IF(ISERROR(E343/D343-1)=TRUE,0,(E343/D343-1))</f>
        <v>1.1746846578079451E-2</v>
      </c>
      <c r="I343" s="71"/>
      <c r="K343" s="80">
        <f>K341+K342</f>
        <v>288612.46462762286</v>
      </c>
      <c r="L343" s="80">
        <f>L341+L342</f>
        <v>292002.75097012491</v>
      </c>
      <c r="M343" s="80">
        <f>M341+M342</f>
        <v>296262.08902711759</v>
      </c>
      <c r="N343" s="76"/>
    </row>
    <row r="344" spans="1:14">
      <c r="B344" s="78"/>
      <c r="C344" s="74"/>
      <c r="D344" s="127"/>
      <c r="E344" s="127"/>
      <c r="F344" s="127"/>
      <c r="G344" s="72"/>
      <c r="I344" s="71"/>
      <c r="K344" s="80"/>
      <c r="L344" s="80"/>
      <c r="M344" s="80"/>
      <c r="N344" s="76"/>
    </row>
    <row r="345" spans="1:14">
      <c r="B345" s="78" t="s">
        <v>108</v>
      </c>
      <c r="C345" s="74"/>
      <c r="D345" s="127"/>
      <c r="E345" s="127"/>
      <c r="F345" s="127"/>
      <c r="G345" s="72"/>
      <c r="I345" s="71"/>
      <c r="K345" s="77"/>
      <c r="L345" s="77"/>
      <c r="M345" s="77"/>
      <c r="N345" s="76"/>
    </row>
    <row r="346" spans="1:14">
      <c r="B346" s="75" t="s">
        <v>122</v>
      </c>
      <c r="C346" s="74"/>
      <c r="D346" s="127"/>
      <c r="E346" s="127"/>
      <c r="F346" s="127"/>
      <c r="G346" s="72"/>
      <c r="I346" s="71"/>
      <c r="K346" s="70">
        <f>K322</f>
        <v>99225.792561960363</v>
      </c>
      <c r="L346" s="70">
        <f>L322</f>
        <v>107857.55054920701</v>
      </c>
      <c r="M346" s="70">
        <f>M322</f>
        <v>107857.55054920701</v>
      </c>
      <c r="N346" s="69"/>
    </row>
    <row r="347" spans="1:14">
      <c r="B347" s="75" t="s">
        <v>105</v>
      </c>
      <c r="C347" s="74"/>
      <c r="D347" s="127"/>
      <c r="E347" s="127"/>
      <c r="F347" s="127"/>
      <c r="G347" s="72"/>
      <c r="I347" s="71"/>
      <c r="K347" s="70">
        <f t="shared" ref="K347:M348" si="11">K341</f>
        <v>213203.4168636642</v>
      </c>
      <c r="L347" s="70">
        <f t="shared" si="11"/>
        <v>211310.34004835298</v>
      </c>
      <c r="M347" s="70">
        <f t="shared" si="11"/>
        <v>211310.34004835298</v>
      </c>
      <c r="N347" s="69"/>
    </row>
    <row r="348" spans="1:14">
      <c r="B348" s="75" t="s">
        <v>106</v>
      </c>
      <c r="C348" s="74"/>
      <c r="D348" s="127"/>
      <c r="E348" s="127"/>
      <c r="F348" s="127"/>
      <c r="G348" s="72"/>
      <c r="I348" s="71"/>
      <c r="K348" s="70">
        <f t="shared" si="11"/>
        <v>75409.047763958661</v>
      </c>
      <c r="L348" s="70">
        <f t="shared" si="11"/>
        <v>80692.410921771938</v>
      </c>
      <c r="M348" s="70">
        <f t="shared" si="11"/>
        <v>84951.748978764605</v>
      </c>
      <c r="N348" s="69"/>
    </row>
    <row r="349" spans="1:14">
      <c r="B349" s="78" t="s">
        <v>110</v>
      </c>
      <c r="C349" s="74"/>
      <c r="D349" s="127"/>
      <c r="E349" s="127"/>
      <c r="F349" s="127"/>
      <c r="G349" s="72"/>
      <c r="I349" s="71"/>
      <c r="K349" s="80">
        <f>SUM(K346:K348)</f>
        <v>387838.25718958327</v>
      </c>
      <c r="L349" s="80">
        <f>SUM(L346:L348)</f>
        <v>399860.30151933193</v>
      </c>
      <c r="M349" s="80">
        <f>SUM(M346:M348)</f>
        <v>404119.63957632461</v>
      </c>
      <c r="N349" s="147">
        <f>M349/L349-1</f>
        <v>1.0652065335840177E-2</v>
      </c>
    </row>
    <row r="350" spans="1:14" ht="13.5" thickBot="1">
      <c r="B350" s="100"/>
      <c r="C350" s="74"/>
      <c r="D350" s="88"/>
      <c r="E350" s="130"/>
      <c r="F350" s="129"/>
      <c r="G350" s="86"/>
      <c r="I350" s="146"/>
      <c r="J350" s="145"/>
      <c r="K350" s="144"/>
      <c r="L350" s="144"/>
      <c r="M350" s="144"/>
      <c r="N350" s="143"/>
    </row>
    <row r="351" spans="1:14" ht="21" hidden="1" thickBot="1">
      <c r="A351" s="57">
        <v>13</v>
      </c>
      <c r="B351" s="138" t="s">
        <v>137</v>
      </c>
      <c r="C351" s="137"/>
      <c r="D351" s="136"/>
      <c r="E351" s="136"/>
      <c r="F351" s="135"/>
      <c r="G351" s="134"/>
      <c r="I351" s="71"/>
      <c r="K351" s="77"/>
      <c r="L351" s="77"/>
      <c r="M351" s="77"/>
      <c r="N351" s="76"/>
    </row>
    <row r="352" spans="1:14" ht="7.35" hidden="1" customHeight="1">
      <c r="B352" s="117"/>
      <c r="C352" s="74"/>
      <c r="D352" s="88"/>
      <c r="E352" s="88"/>
      <c r="F352" s="87"/>
      <c r="G352" s="86"/>
      <c r="I352" s="71"/>
      <c r="K352" s="77"/>
      <c r="L352" s="77"/>
      <c r="M352" s="77"/>
      <c r="N352" s="76"/>
    </row>
    <row r="353" spans="2:14" ht="15.75" hidden="1" thickBot="1">
      <c r="B353" s="113" t="s">
        <v>77</v>
      </c>
      <c r="C353" s="142"/>
      <c r="D353" s="141"/>
      <c r="E353" s="140"/>
      <c r="F353" s="139"/>
      <c r="G353" s="107"/>
      <c r="I353" s="71"/>
      <c r="K353" s="77"/>
      <c r="L353" s="77"/>
      <c r="M353" s="77"/>
      <c r="N353" s="76"/>
    </row>
    <row r="354" spans="2:14" ht="13.5" hidden="1" thickBot="1">
      <c r="B354" s="100" t="s">
        <v>94</v>
      </c>
      <c r="C354" s="74" t="s">
        <v>95</v>
      </c>
      <c r="D354" s="88">
        <v>7.79074510438645</v>
      </c>
      <c r="E354" s="130">
        <v>8.2396136805588878</v>
      </c>
      <c r="F354" s="129">
        <f>E354-D354</f>
        <v>0.44886857617243781</v>
      </c>
      <c r="G354" s="86">
        <f>IF(ISERROR(E354/D354-1)=TRUE,0,(E354/D354-1))</f>
        <v>5.7615615728424885E-2</v>
      </c>
      <c r="I354" s="71"/>
      <c r="K354" s="77"/>
      <c r="L354" s="77"/>
      <c r="M354" s="77"/>
      <c r="N354" s="76"/>
    </row>
    <row r="355" spans="2:14" ht="15.75" hidden="1" thickBot="1">
      <c r="B355" s="104" t="s">
        <v>97</v>
      </c>
      <c r="C355" s="74" t="s">
        <v>95</v>
      </c>
      <c r="D355" s="103">
        <v>3.25253062044803</v>
      </c>
      <c r="E355" s="132">
        <f>E356-E354</f>
        <v>3.6770573851317749</v>
      </c>
      <c r="F355" s="128">
        <f>E355-D355</f>
        <v>0.42452676468374495</v>
      </c>
      <c r="G355" s="86">
        <f>IF(ISERROR(E355/D355-1)=TRUE,0,(E355/D355-1))</f>
        <v>0.13052198863704079</v>
      </c>
      <c r="I355" s="71"/>
      <c r="K355" s="77"/>
      <c r="L355" s="77"/>
      <c r="M355" s="77"/>
      <c r="N355" s="76"/>
    </row>
    <row r="356" spans="2:14" ht="13.5" hidden="1" thickBot="1">
      <c r="B356" s="100" t="s">
        <v>98</v>
      </c>
      <c r="C356" s="74"/>
      <c r="D356" s="88">
        <f>SUM(D353:D355)</f>
        <v>11.04327572483448</v>
      </c>
      <c r="E356" s="130">
        <v>11.916671065690663</v>
      </c>
      <c r="F356" s="129">
        <f>E356-D356</f>
        <v>0.87339534085618276</v>
      </c>
      <c r="G356" s="86">
        <f>IF(ISERROR(E356/D356-1)=TRUE,0,(E356/D356-1))</f>
        <v>7.9088430155924039E-2</v>
      </c>
      <c r="I356" s="71"/>
      <c r="K356" s="77"/>
      <c r="L356" s="77"/>
      <c r="M356" s="77"/>
      <c r="N356" s="76"/>
    </row>
    <row r="357" spans="2:14" ht="6.6" hidden="1" customHeight="1">
      <c r="B357" s="100"/>
      <c r="C357" s="74"/>
      <c r="D357" s="88"/>
      <c r="E357" s="130"/>
      <c r="F357" s="129"/>
      <c r="G357" s="86"/>
      <c r="I357" s="71"/>
      <c r="K357" s="77"/>
      <c r="L357" s="77"/>
      <c r="M357" s="77"/>
      <c r="N357" s="76"/>
    </row>
    <row r="358" spans="2:14" ht="13.5" hidden="1" thickBot="1">
      <c r="B358" s="104" t="s">
        <v>99</v>
      </c>
      <c r="C358" s="74" t="s">
        <v>95</v>
      </c>
      <c r="D358" s="88">
        <v>0</v>
      </c>
      <c r="E358" s="130">
        <v>0</v>
      </c>
      <c r="F358" s="129">
        <f>E358-D358</f>
        <v>0</v>
      </c>
      <c r="G358" s="86">
        <f>IF(ISERROR(E358/D358-1)=TRUE,0,(E358/D358-1))</f>
        <v>0</v>
      </c>
      <c r="I358" s="71"/>
      <c r="K358" s="77"/>
      <c r="L358" s="77"/>
      <c r="M358" s="77"/>
      <c r="N358" s="76"/>
    </row>
    <row r="359" spans="2:14" ht="15.75" hidden="1" thickBot="1">
      <c r="B359" s="104" t="s">
        <v>100</v>
      </c>
      <c r="C359" s="74" t="s">
        <v>95</v>
      </c>
      <c r="D359" s="103">
        <v>0.156</v>
      </c>
      <c r="E359" s="132">
        <v>0.156</v>
      </c>
      <c r="F359" s="128">
        <f>E359-D359</f>
        <v>0</v>
      </c>
      <c r="G359" s="86">
        <f>IF(ISERROR(E359/D359-1)=TRUE,0,(E359/D359-1))</f>
        <v>0</v>
      </c>
      <c r="I359" s="71"/>
      <c r="K359" s="77"/>
      <c r="L359" s="77"/>
      <c r="M359" s="77"/>
      <c r="N359" s="76"/>
    </row>
    <row r="360" spans="2:14" ht="13.5" hidden="1" thickBot="1">
      <c r="B360" s="100" t="s">
        <v>98</v>
      </c>
      <c r="C360" s="74"/>
      <c r="D360" s="88">
        <f>SUM(D358:D359)</f>
        <v>0.156</v>
      </c>
      <c r="E360" s="130">
        <f>SUM(E358:E359)</f>
        <v>0.156</v>
      </c>
      <c r="F360" s="129">
        <f>SUM(F358:F359)</f>
        <v>0</v>
      </c>
      <c r="G360" s="86">
        <f>IF(ISERROR(E360/D360-1)=TRUE,0,(E360/D360-1))</f>
        <v>0</v>
      </c>
      <c r="I360" s="71"/>
      <c r="K360" s="77"/>
      <c r="L360" s="77"/>
      <c r="M360" s="77"/>
      <c r="N360" s="76"/>
    </row>
    <row r="361" spans="2:14" ht="7.5" hidden="1" customHeight="1">
      <c r="B361" s="100"/>
      <c r="C361" s="74"/>
      <c r="D361" s="88"/>
      <c r="E361" s="130"/>
      <c r="F361" s="129"/>
      <c r="G361" s="86"/>
      <c r="I361" s="71"/>
      <c r="K361" s="77"/>
      <c r="L361" s="77"/>
      <c r="M361" s="77"/>
      <c r="N361" s="76"/>
    </row>
    <row r="362" spans="2:14" ht="15" hidden="1" customHeight="1">
      <c r="B362" s="100" t="s">
        <v>101</v>
      </c>
      <c r="C362" s="74" t="s">
        <v>95</v>
      </c>
      <c r="D362" s="88">
        <v>0.35276248999999998</v>
      </c>
      <c r="E362" s="130">
        <v>0.35276248999999998</v>
      </c>
      <c r="F362" s="129">
        <f>E362-D362</f>
        <v>0</v>
      </c>
      <c r="G362" s="86">
        <f>IF(ISERROR(E362/D362-1)=TRUE,0,(E362/D362-1))</f>
        <v>0</v>
      </c>
      <c r="I362" s="71"/>
      <c r="K362" s="77"/>
      <c r="L362" s="77"/>
      <c r="M362" s="77"/>
      <c r="N362" s="76"/>
    </row>
    <row r="363" spans="2:14" ht="15" hidden="1" customHeight="1">
      <c r="B363" s="100" t="s">
        <v>102</v>
      </c>
      <c r="C363" s="74" t="s">
        <v>95</v>
      </c>
      <c r="D363" s="128">
        <v>4.31198E-3</v>
      </c>
      <c r="E363" s="132">
        <v>4.31198E-3</v>
      </c>
      <c r="F363" s="128">
        <f>E363-D363</f>
        <v>0</v>
      </c>
      <c r="G363" s="83">
        <f>IF(ISERROR(E363/D363-1)=TRUE,0,(E363/D363-1))</f>
        <v>0</v>
      </c>
      <c r="I363" s="71"/>
      <c r="K363" s="77"/>
      <c r="L363" s="77"/>
      <c r="M363" s="77"/>
      <c r="N363" s="76"/>
    </row>
    <row r="364" spans="2:14" ht="13.5" hidden="1" thickBot="1">
      <c r="B364" s="100" t="s">
        <v>98</v>
      </c>
      <c r="C364" s="74"/>
      <c r="D364" s="130">
        <f>SUM(D362:D363)</f>
        <v>0.35707446999999998</v>
      </c>
      <c r="E364" s="130">
        <f>SUM(E362:E363)</f>
        <v>0.35707446999999998</v>
      </c>
      <c r="F364" s="129">
        <f>SUM(F362:F363)</f>
        <v>0</v>
      </c>
      <c r="G364" s="86">
        <f>IF(ISERROR(E364/D364-1)=TRUE,0,(E364/D364-1))</f>
        <v>0</v>
      </c>
      <c r="I364" s="71"/>
      <c r="K364" s="77"/>
      <c r="L364" s="77"/>
      <c r="M364" s="77"/>
      <c r="N364" s="76"/>
    </row>
    <row r="365" spans="2:14" ht="5.85" hidden="1" customHeight="1">
      <c r="B365" s="90"/>
      <c r="C365" s="74"/>
      <c r="D365" s="88"/>
      <c r="E365" s="130"/>
      <c r="F365" s="129"/>
      <c r="G365" s="86"/>
      <c r="I365" s="71"/>
      <c r="K365" s="77"/>
      <c r="L365" s="77"/>
      <c r="M365" s="77"/>
      <c r="N365" s="76"/>
    </row>
    <row r="366" spans="2:14" ht="14.1" hidden="1" customHeight="1">
      <c r="B366" s="104" t="s">
        <v>103</v>
      </c>
      <c r="C366" s="74" t="s">
        <v>95</v>
      </c>
      <c r="D366" s="130">
        <v>0</v>
      </c>
      <c r="E366" s="88">
        <v>0</v>
      </c>
      <c r="F366" s="129">
        <f>E366-D366</f>
        <v>0</v>
      </c>
      <c r="G366" s="86">
        <f>IF(ISERROR(E366/D366-1)=TRUE,0,(E366/D366-1))</f>
        <v>0</v>
      </c>
      <c r="I366" s="71"/>
      <c r="K366" s="77"/>
      <c r="L366" s="77"/>
      <c r="M366" s="77"/>
      <c r="N366" s="76"/>
    </row>
    <row r="367" spans="2:14" ht="8.1" hidden="1" customHeight="1">
      <c r="B367" s="90"/>
      <c r="C367" s="74"/>
      <c r="D367" s="88"/>
      <c r="E367" s="130"/>
      <c r="F367" s="129"/>
      <c r="G367" s="86"/>
      <c r="I367" s="71"/>
      <c r="K367" s="77"/>
      <c r="L367" s="77"/>
      <c r="M367" s="77"/>
      <c r="N367" s="76"/>
    </row>
    <row r="368" spans="2:14" ht="14.1" hidden="1" customHeight="1">
      <c r="B368" s="75" t="s">
        <v>105</v>
      </c>
      <c r="C368" s="74" t="s">
        <v>95</v>
      </c>
      <c r="D368" s="88">
        <f>D354+D360</f>
        <v>7.9467451043864497</v>
      </c>
      <c r="E368" s="88">
        <f>E354+E360</f>
        <v>8.3956136805588883</v>
      </c>
      <c r="F368" s="129">
        <f>E368-D368</f>
        <v>0.44886857617243869</v>
      </c>
      <c r="G368" s="86">
        <f>IF(ISERROR(E368/D368-1)=TRUE,0,(E368/D368-1))</f>
        <v>5.6484582086906432E-2</v>
      </c>
      <c r="I368" s="71"/>
      <c r="K368" s="77"/>
      <c r="L368" s="77"/>
      <c r="M368" s="77"/>
      <c r="N368" s="76"/>
    </row>
    <row r="369" spans="1:14" ht="14.1" hidden="1" customHeight="1">
      <c r="B369" s="75" t="s">
        <v>106</v>
      </c>
      <c r="C369" s="74" t="s">
        <v>95</v>
      </c>
      <c r="D369" s="128">
        <f>D355+D364+D366</f>
        <v>3.6096050904480301</v>
      </c>
      <c r="E369" s="128">
        <f>E355+E364+E366</f>
        <v>4.0341318551317746</v>
      </c>
      <c r="F369" s="128">
        <f>E369-D369</f>
        <v>0.42452676468374451</v>
      </c>
      <c r="G369" s="83">
        <f>IF(ISERROR(E369/D369-1)=TRUE,0,(E369/D369-1))</f>
        <v>0.11761030751179802</v>
      </c>
      <c r="I369" s="71"/>
      <c r="K369" s="77"/>
      <c r="L369" s="77"/>
      <c r="M369" s="77"/>
      <c r="N369" s="76"/>
    </row>
    <row r="370" spans="1:14" ht="13.5" hidden="1" thickBot="1">
      <c r="B370" s="78" t="s">
        <v>107</v>
      </c>
      <c r="C370" s="74"/>
      <c r="D370" s="127">
        <f>D368+D369</f>
        <v>11.556350194834479</v>
      </c>
      <c r="E370" s="127">
        <f>E356+E360+E364+E366</f>
        <v>12.429745535690664</v>
      </c>
      <c r="F370" s="127">
        <f>F356+F360+F364+F366</f>
        <v>0.87339534085618276</v>
      </c>
      <c r="G370" s="72">
        <f>IF(ISERROR(E370/D370-1)=TRUE,0,(E370/D370-1))</f>
        <v>7.5577091913204608E-2</v>
      </c>
      <c r="I370" s="71"/>
      <c r="K370" s="77"/>
      <c r="L370" s="77"/>
      <c r="M370" s="77"/>
      <c r="N370" s="76"/>
    </row>
    <row r="371" spans="1:14" ht="8.25" hidden="1" customHeight="1" thickBot="1">
      <c r="B371" s="100"/>
      <c r="C371" s="74"/>
      <c r="D371" s="88"/>
      <c r="E371" s="130"/>
      <c r="F371" s="129"/>
      <c r="G371" s="86"/>
      <c r="I371" s="71"/>
      <c r="K371" s="77"/>
      <c r="L371" s="77"/>
      <c r="M371" s="77"/>
      <c r="N371" s="76"/>
    </row>
    <row r="372" spans="1:14" ht="24.6" hidden="1" customHeight="1">
      <c r="A372" s="57">
        <v>14</v>
      </c>
      <c r="B372" s="138" t="s">
        <v>138</v>
      </c>
      <c r="C372" s="137"/>
      <c r="D372" s="136"/>
      <c r="E372" s="136"/>
      <c r="F372" s="135"/>
      <c r="G372" s="134"/>
      <c r="I372" s="71"/>
      <c r="K372" s="77"/>
      <c r="L372" s="77"/>
      <c r="M372" s="77"/>
      <c r="N372" s="76"/>
    </row>
    <row r="373" spans="1:14" ht="7.35" hidden="1" customHeight="1">
      <c r="B373" s="117"/>
      <c r="C373" s="74"/>
      <c r="D373" s="88"/>
      <c r="E373" s="88"/>
      <c r="F373" s="87"/>
      <c r="G373" s="86"/>
      <c r="I373" s="71"/>
      <c r="K373" s="77"/>
      <c r="L373" s="77"/>
      <c r="M373" s="77"/>
      <c r="N373" s="76"/>
    </row>
    <row r="374" spans="1:14" ht="15.6" hidden="1" customHeight="1">
      <c r="B374" s="108" t="s">
        <v>139</v>
      </c>
      <c r="C374" s="74" t="s">
        <v>116</v>
      </c>
      <c r="D374" s="73">
        <v>13.420397223452312</v>
      </c>
      <c r="E374" s="127">
        <v>14.249513701994964</v>
      </c>
      <c r="F374" s="129">
        <f>E374-D374</f>
        <v>0.82911647854265169</v>
      </c>
      <c r="G374" s="86">
        <f>IF(ISERROR(E374/D374-1)=TRUE,0,(E374/D374-1))</f>
        <v>6.1780323245109292E-2</v>
      </c>
      <c r="I374" s="71"/>
      <c r="K374" s="77"/>
      <c r="L374" s="77"/>
      <c r="M374" s="77"/>
      <c r="N374" s="76"/>
    </row>
    <row r="375" spans="1:14" ht="4.3499999999999996" hidden="1" customHeight="1">
      <c r="B375" s="104"/>
      <c r="C375" s="74"/>
      <c r="D375" s="73"/>
      <c r="E375" s="127"/>
      <c r="F375" s="129"/>
      <c r="G375" s="86"/>
      <c r="I375" s="71"/>
      <c r="K375" s="77"/>
      <c r="L375" s="77"/>
      <c r="M375" s="77"/>
      <c r="N375" s="76"/>
    </row>
    <row r="376" spans="1:14" ht="15.75" hidden="1" thickBot="1">
      <c r="B376" s="113" t="s">
        <v>77</v>
      </c>
      <c r="C376" s="74"/>
      <c r="D376" s="73"/>
      <c r="E376" s="127"/>
      <c r="F376" s="129"/>
      <c r="G376" s="107"/>
      <c r="I376" s="71"/>
      <c r="K376" s="77"/>
      <c r="L376" s="77"/>
      <c r="M376" s="77"/>
      <c r="N376" s="76"/>
    </row>
    <row r="377" spans="1:14" ht="15.75" hidden="1" thickBot="1">
      <c r="B377" s="108" t="s">
        <v>120</v>
      </c>
      <c r="C377" s="74"/>
      <c r="D377" s="88"/>
      <c r="E377" s="130"/>
      <c r="F377" s="129"/>
      <c r="G377" s="107"/>
      <c r="I377" s="71"/>
      <c r="K377" s="77"/>
      <c r="L377" s="77"/>
      <c r="M377" s="77"/>
      <c r="N377" s="76"/>
    </row>
    <row r="378" spans="1:14" ht="13.5" hidden="1" thickBot="1">
      <c r="B378" s="100" t="s">
        <v>94</v>
      </c>
      <c r="C378" s="74" t="s">
        <v>95</v>
      </c>
      <c r="D378" s="88">
        <v>7.79074510438645</v>
      </c>
      <c r="E378" s="130">
        <f>E354</f>
        <v>8.2396136805588878</v>
      </c>
      <c r="F378" s="129">
        <f>E378-D378</f>
        <v>0.44886857617243781</v>
      </c>
      <c r="G378" s="86">
        <f>IF(ISERROR(E378/D378-1)=TRUE,0,(E378/D378-1))</f>
        <v>5.7615615728424885E-2</v>
      </c>
      <c r="I378" s="133">
        <v>649.32874586790797</v>
      </c>
      <c r="K378" s="77"/>
      <c r="L378" s="77"/>
      <c r="M378" s="77"/>
      <c r="N378" s="76"/>
    </row>
    <row r="379" spans="1:14" ht="15.75" hidden="1" thickBot="1">
      <c r="B379" s="104" t="s">
        <v>97</v>
      </c>
      <c r="C379" s="74" t="s">
        <v>95</v>
      </c>
      <c r="D379" s="103">
        <v>9.4384215722057085</v>
      </c>
      <c r="E379" s="132">
        <v>10.053976482556999</v>
      </c>
      <c r="F379" s="128">
        <f>E379-D379</f>
        <v>0.61555491035129073</v>
      </c>
      <c r="G379" s="86">
        <f>IF(ISERROR(E379/D379-1)=TRUE,0,(E379/D379-1))</f>
        <v>6.5217992822441673E-2</v>
      </c>
      <c r="I379" s="133"/>
      <c r="K379" s="77"/>
      <c r="L379" s="77"/>
      <c r="M379" s="77"/>
      <c r="N379" s="76"/>
    </row>
    <row r="380" spans="1:14" ht="13.5" hidden="1" thickBot="1">
      <c r="B380" s="100" t="s">
        <v>98</v>
      </c>
      <c r="C380" s="74"/>
      <c r="D380" s="88">
        <f>SUM(D377:D379)</f>
        <v>17.229166676592158</v>
      </c>
      <c r="E380" s="130">
        <f>SUM(E377:E379)</f>
        <v>18.293590163115887</v>
      </c>
      <c r="F380" s="129">
        <f>E380-D380</f>
        <v>1.0644234865237294</v>
      </c>
      <c r="G380" s="86">
        <f>IF(ISERROR(E380/D380-1)=TRUE,0,(E380/D380-1))</f>
        <v>6.1780323245109292E-2</v>
      </c>
      <c r="I380" s="133"/>
      <c r="K380" s="77"/>
      <c r="L380" s="77"/>
      <c r="M380" s="77"/>
      <c r="N380" s="76"/>
    </row>
    <row r="381" spans="1:14" ht="5.85" hidden="1" customHeight="1">
      <c r="B381" s="100"/>
      <c r="C381" s="74"/>
      <c r="D381" s="88"/>
      <c r="E381" s="130"/>
      <c r="F381" s="129"/>
      <c r="G381" s="86"/>
      <c r="I381" s="133"/>
      <c r="K381" s="77"/>
      <c r="L381" s="77"/>
      <c r="M381" s="77"/>
      <c r="N381" s="76"/>
    </row>
    <row r="382" spans="1:14" ht="13.5" hidden="1" thickBot="1">
      <c r="B382" s="104" t="s">
        <v>99</v>
      </c>
      <c r="C382" s="74" t="s">
        <v>95</v>
      </c>
      <c r="D382" s="88">
        <v>0</v>
      </c>
      <c r="E382" s="130">
        <f>E358</f>
        <v>0</v>
      </c>
      <c r="F382" s="129">
        <f>E382-D382</f>
        <v>0</v>
      </c>
      <c r="G382" s="86">
        <f>IF(ISERROR(E382/D382-1)=TRUE,0,(E382/D382-1))</f>
        <v>0</v>
      </c>
      <c r="I382" s="71"/>
      <c r="K382" s="77"/>
      <c r="L382" s="77"/>
      <c r="M382" s="77"/>
      <c r="N382" s="76"/>
    </row>
    <row r="383" spans="1:14" ht="15.75" hidden="1" thickBot="1">
      <c r="B383" s="104" t="s">
        <v>100</v>
      </c>
      <c r="C383" s="74" t="s">
        <v>95</v>
      </c>
      <c r="D383" s="85">
        <v>0.156</v>
      </c>
      <c r="E383" s="131">
        <f>E359</f>
        <v>0.156</v>
      </c>
      <c r="F383" s="128">
        <f>E383-D383</f>
        <v>0</v>
      </c>
      <c r="G383" s="86">
        <f>IF(ISERROR(E383/D383-1)=TRUE,0,(E383/D383-1))</f>
        <v>0</v>
      </c>
      <c r="I383" s="71"/>
      <c r="K383" s="77"/>
      <c r="L383" s="77"/>
      <c r="M383" s="77"/>
      <c r="N383" s="76"/>
    </row>
    <row r="384" spans="1:14" ht="13.5" hidden="1" thickBot="1">
      <c r="B384" s="100" t="s">
        <v>98</v>
      </c>
      <c r="C384" s="74"/>
      <c r="D384" s="88">
        <f>SUM(D382:D383)</f>
        <v>0.156</v>
      </c>
      <c r="E384" s="130">
        <f>SUM(E381:E383)</f>
        <v>0.156</v>
      </c>
      <c r="F384" s="129">
        <f>E384-D384</f>
        <v>0</v>
      </c>
      <c r="G384" s="86">
        <f>IF(ISERROR(E384/D384-1)=TRUE,0,(E384/D384-1))</f>
        <v>0</v>
      </c>
      <c r="I384" s="71"/>
      <c r="K384" s="77"/>
      <c r="L384" s="77"/>
      <c r="M384" s="77"/>
      <c r="N384" s="76"/>
    </row>
    <row r="385" spans="2:14" ht="4.5" hidden="1" customHeight="1">
      <c r="B385" s="100"/>
      <c r="C385" s="74"/>
      <c r="D385" s="88"/>
      <c r="E385" s="130"/>
      <c r="F385" s="129"/>
      <c r="G385" s="86"/>
      <c r="I385" s="71"/>
      <c r="K385" s="77"/>
      <c r="L385" s="77"/>
      <c r="M385" s="77"/>
      <c r="N385" s="76"/>
    </row>
    <row r="386" spans="2:14" ht="13.5" hidden="1" thickBot="1">
      <c r="B386" s="100" t="s">
        <v>101</v>
      </c>
      <c r="C386" s="74" t="s">
        <v>95</v>
      </c>
      <c r="D386" s="88">
        <v>0.35276248999999998</v>
      </c>
      <c r="E386" s="88">
        <f>E362</f>
        <v>0.35276248999999998</v>
      </c>
      <c r="F386" s="129">
        <f>E386-D386</f>
        <v>0</v>
      </c>
      <c r="G386" s="86">
        <f>IF(ISERROR(E386/D386-1)=TRUE,0,(E386/D386-1))</f>
        <v>0</v>
      </c>
      <c r="I386" s="71"/>
      <c r="K386" s="77"/>
      <c r="L386" s="77"/>
      <c r="M386" s="77"/>
      <c r="N386" s="76"/>
    </row>
    <row r="387" spans="2:14" ht="15.75" hidden="1" thickBot="1">
      <c r="B387" s="100" t="s">
        <v>102</v>
      </c>
      <c r="C387" s="74" t="s">
        <v>95</v>
      </c>
      <c r="D387" s="128">
        <v>4.31198E-3</v>
      </c>
      <c r="E387" s="128">
        <f>E363</f>
        <v>4.31198E-3</v>
      </c>
      <c r="F387" s="128">
        <f>E387-D387</f>
        <v>0</v>
      </c>
      <c r="G387" s="83">
        <f>IF(ISERROR(E387/D387-1)=TRUE,0,(E387/D387-1))</f>
        <v>0</v>
      </c>
      <c r="I387" s="71"/>
      <c r="K387" s="77"/>
      <c r="L387" s="77"/>
      <c r="M387" s="77"/>
      <c r="N387" s="76"/>
    </row>
    <row r="388" spans="2:14" ht="13.5" hidden="1" thickBot="1">
      <c r="B388" s="100" t="s">
        <v>98</v>
      </c>
      <c r="C388" s="74"/>
      <c r="D388" s="130">
        <f>SUM(D386:D387)</f>
        <v>0.35707446999999998</v>
      </c>
      <c r="E388" s="130">
        <f>SUM(E386:E387)</f>
        <v>0.35707446999999998</v>
      </c>
      <c r="F388" s="129">
        <f>SUM(F386:F387)</f>
        <v>0</v>
      </c>
      <c r="G388" s="86">
        <f>IF(ISERROR(E388/D388-1)=TRUE,0,(E388/D388-1))</f>
        <v>0</v>
      </c>
      <c r="I388" s="71"/>
      <c r="K388" s="77"/>
      <c r="L388" s="77"/>
      <c r="M388" s="77"/>
      <c r="N388" s="76"/>
    </row>
    <row r="389" spans="2:14" ht="5.0999999999999996" hidden="1" customHeight="1">
      <c r="B389" s="90"/>
      <c r="C389" s="74"/>
      <c r="D389" s="88"/>
      <c r="E389" s="88"/>
      <c r="F389" s="129"/>
      <c r="G389" s="86"/>
      <c r="I389" s="71"/>
      <c r="K389" s="77"/>
      <c r="L389" s="77"/>
      <c r="M389" s="77"/>
      <c r="N389" s="76"/>
    </row>
    <row r="390" spans="2:14" ht="13.5" hidden="1" thickBot="1">
      <c r="B390" s="104" t="s">
        <v>103</v>
      </c>
      <c r="C390" s="74" t="s">
        <v>95</v>
      </c>
      <c r="D390" s="130">
        <v>0</v>
      </c>
      <c r="E390" s="130">
        <f>E366</f>
        <v>0</v>
      </c>
      <c r="F390" s="129">
        <f>E390-D390</f>
        <v>0</v>
      </c>
      <c r="G390" s="86">
        <f>IF(ISERROR(E390/D390-1)=TRUE,0,(E390/D390-1))</f>
        <v>0</v>
      </c>
      <c r="I390" s="71"/>
      <c r="K390" s="77"/>
      <c r="L390" s="77"/>
      <c r="M390" s="77"/>
      <c r="N390" s="76"/>
    </row>
    <row r="391" spans="2:14" ht="7.5" hidden="1" customHeight="1">
      <c r="B391" s="90"/>
      <c r="C391" s="74"/>
      <c r="D391" s="88"/>
      <c r="E391" s="88"/>
      <c r="F391" s="129"/>
      <c r="G391" s="86"/>
      <c r="I391" s="71"/>
      <c r="K391" s="77"/>
      <c r="L391" s="77"/>
      <c r="M391" s="77"/>
      <c r="N391" s="76"/>
    </row>
    <row r="392" spans="2:14" ht="13.5" hidden="1" thickBot="1">
      <c r="B392" s="75" t="s">
        <v>105</v>
      </c>
      <c r="C392" s="74" t="s">
        <v>95</v>
      </c>
      <c r="D392" s="88">
        <f>D378+D384</f>
        <v>7.9467451043864497</v>
      </c>
      <c r="E392" s="88">
        <f>E378+E384</f>
        <v>8.3956136805588883</v>
      </c>
      <c r="F392" s="129">
        <f>E392-D392</f>
        <v>0.44886857617243869</v>
      </c>
      <c r="G392" s="86">
        <f>IF(ISERROR(E392/D392-1)=TRUE,0,(E392/D392-1))</f>
        <v>5.6484582086906432E-2</v>
      </c>
      <c r="I392" s="71"/>
      <c r="K392" s="77"/>
      <c r="L392" s="77"/>
      <c r="M392" s="77"/>
      <c r="N392" s="76"/>
    </row>
    <row r="393" spans="2:14" ht="15.75" hidden="1" thickBot="1">
      <c r="B393" s="75" t="s">
        <v>106</v>
      </c>
      <c r="C393" s="74" t="s">
        <v>95</v>
      </c>
      <c r="D393" s="128">
        <f>D379+D388+D390</f>
        <v>9.7954960422057091</v>
      </c>
      <c r="E393" s="128">
        <f>E379+E388+E390</f>
        <v>10.411050952557</v>
      </c>
      <c r="F393" s="128">
        <f>E393-D393</f>
        <v>0.61555491035129073</v>
      </c>
      <c r="G393" s="83">
        <f>IF(ISERROR(E393/D393-1)=TRUE,0,(E393/D393-1))</f>
        <v>6.2840606305087476E-2</v>
      </c>
      <c r="I393" s="71"/>
      <c r="N393" s="76"/>
    </row>
    <row r="394" spans="2:14" ht="13.5" hidden="1" thickBot="1">
      <c r="B394" s="78" t="s">
        <v>107</v>
      </c>
      <c r="C394" s="74"/>
      <c r="D394" s="127">
        <f>D392+D393</f>
        <v>17.742241146592157</v>
      </c>
      <c r="E394" s="127">
        <f>E392+E393</f>
        <v>18.806664633115886</v>
      </c>
      <c r="F394" s="127">
        <f>F380+F384+F388+F390</f>
        <v>1.0644234865237294</v>
      </c>
      <c r="G394" s="72">
        <f>IF(ISERROR(E394/D394-1)=TRUE,0,(E394/D394-1))</f>
        <v>5.9993744743356725E-2</v>
      </c>
      <c r="I394" s="71"/>
      <c r="N394" s="76"/>
    </row>
    <row r="395" spans="2:14" ht="6" hidden="1" customHeight="1">
      <c r="B395" s="78"/>
      <c r="C395" s="74"/>
      <c r="D395" s="73"/>
      <c r="E395" s="127"/>
      <c r="F395" s="129"/>
      <c r="G395" s="107"/>
      <c r="I395" s="71"/>
      <c r="N395" s="76"/>
    </row>
    <row r="396" spans="2:14" ht="15.75" hidden="1" thickBot="1">
      <c r="B396" s="108" t="s">
        <v>114</v>
      </c>
      <c r="C396" s="74"/>
      <c r="D396" s="73"/>
      <c r="E396" s="127"/>
      <c r="F396" s="129"/>
      <c r="G396" s="107"/>
      <c r="I396" s="71"/>
      <c r="N396" s="76"/>
    </row>
    <row r="397" spans="2:14" ht="13.5" hidden="1" thickBot="1">
      <c r="B397" s="100" t="s">
        <v>94</v>
      </c>
      <c r="C397" s="74" t="s">
        <v>95</v>
      </c>
      <c r="D397" s="88">
        <v>7.79074510438645</v>
      </c>
      <c r="E397" s="130">
        <f>E378</f>
        <v>8.2396136805588878</v>
      </c>
      <c r="F397" s="129">
        <f>E397-D397</f>
        <v>0.44886857617243781</v>
      </c>
      <c r="G397" s="86">
        <f>IF(ISERROR(E397/D397-1)=TRUE,0,(E397/D397-1))</f>
        <v>5.7615615728424885E-2</v>
      </c>
      <c r="I397" s="71"/>
      <c r="N397" s="76"/>
    </row>
    <row r="398" spans="2:14" ht="15.75" hidden="1" thickBot="1">
      <c r="B398" s="104" t="s">
        <v>97</v>
      </c>
      <c r="C398" s="74" t="s">
        <v>95</v>
      </c>
      <c r="D398" s="103">
        <v>4.2813327801483938</v>
      </c>
      <c r="E398" s="132">
        <v>4.5782810779226537</v>
      </c>
      <c r="F398" s="128">
        <f>E398-D398</f>
        <v>0.29694829777425991</v>
      </c>
      <c r="G398" s="86">
        <f>IF(ISERROR(E398/D398-1)=TRUE,0,(E398/D398-1))</f>
        <v>6.9358845252848411E-2</v>
      </c>
      <c r="I398" s="71"/>
      <c r="N398" s="76"/>
    </row>
    <row r="399" spans="2:14" ht="13.5" hidden="1" thickBot="1">
      <c r="B399" s="100" t="s">
        <v>98</v>
      </c>
      <c r="C399" s="74"/>
      <c r="D399" s="88">
        <f>SUM(D396:D398)</f>
        <v>12.072077884534844</v>
      </c>
      <c r="E399" s="130">
        <f>SUM(E397:E398)</f>
        <v>12.817894758481541</v>
      </c>
      <c r="F399" s="129">
        <f>E399-D399</f>
        <v>0.74581687394669771</v>
      </c>
      <c r="G399" s="86">
        <f>IF(ISERROR(E399/D399-1)=TRUE,0,(E399/D399-1))</f>
        <v>6.1780323245109292E-2</v>
      </c>
      <c r="I399" s="71"/>
      <c r="N399" s="76"/>
    </row>
    <row r="400" spans="2:14" ht="9.75" hidden="1" customHeight="1">
      <c r="B400" s="100"/>
      <c r="C400" s="74"/>
      <c r="D400" s="88"/>
      <c r="E400" s="130"/>
      <c r="F400" s="129"/>
      <c r="G400" s="86"/>
      <c r="I400" s="71"/>
      <c r="N400" s="76"/>
    </row>
    <row r="401" spans="2:14" ht="13.5" hidden="1" thickBot="1">
      <c r="B401" s="104" t="s">
        <v>99</v>
      </c>
      <c r="C401" s="74" t="s">
        <v>95</v>
      </c>
      <c r="D401" s="88">
        <v>0</v>
      </c>
      <c r="E401" s="130">
        <f>E382</f>
        <v>0</v>
      </c>
      <c r="F401" s="129">
        <f>E401-D401</f>
        <v>0</v>
      </c>
      <c r="G401" s="86">
        <f>IF(ISERROR(E401/D401-1)=TRUE,0,(E401/D401-1))</f>
        <v>0</v>
      </c>
      <c r="I401" s="71"/>
      <c r="N401" s="76"/>
    </row>
    <row r="402" spans="2:14" ht="15.75" hidden="1" thickBot="1">
      <c r="B402" s="104" t="s">
        <v>100</v>
      </c>
      <c r="C402" s="74" t="s">
        <v>95</v>
      </c>
      <c r="D402" s="103">
        <v>0.156</v>
      </c>
      <c r="E402" s="132">
        <f>E383</f>
        <v>0.156</v>
      </c>
      <c r="F402" s="128">
        <f>E402-D402</f>
        <v>0</v>
      </c>
      <c r="G402" s="86">
        <f>IF(ISERROR(E402/D402-1)=TRUE,0,(E402/D402-1))</f>
        <v>0</v>
      </c>
      <c r="I402" s="71"/>
      <c r="N402" s="76"/>
    </row>
    <row r="403" spans="2:14" ht="13.5" hidden="1" thickBot="1">
      <c r="B403" s="100" t="s">
        <v>98</v>
      </c>
      <c r="C403" s="74"/>
      <c r="D403" s="88">
        <f>SUM(D401:D402)</f>
        <v>0.156</v>
      </c>
      <c r="E403" s="130">
        <f>SUM(E401:E402)</f>
        <v>0.156</v>
      </c>
      <c r="F403" s="130">
        <f>SUM(F401:F402)</f>
        <v>0</v>
      </c>
      <c r="G403" s="86">
        <f>IF(ISERROR(E403/D403-1)=TRUE,0,(E403/D403-1))</f>
        <v>0</v>
      </c>
      <c r="I403" s="71"/>
      <c r="N403" s="76"/>
    </row>
    <row r="404" spans="2:14" ht="6.75" hidden="1" customHeight="1">
      <c r="B404" s="100"/>
      <c r="C404" s="74"/>
      <c r="D404" s="103"/>
      <c r="E404" s="130"/>
      <c r="F404" s="130"/>
      <c r="G404" s="86"/>
      <c r="I404" s="71"/>
      <c r="N404" s="76"/>
    </row>
    <row r="405" spans="2:14" ht="12" hidden="1" customHeight="1">
      <c r="B405" s="100" t="s">
        <v>101</v>
      </c>
      <c r="C405" s="74" t="s">
        <v>95</v>
      </c>
      <c r="D405" s="130">
        <v>0.35276248999999998</v>
      </c>
      <c r="E405" s="130">
        <f>E$386</f>
        <v>0.35276248999999998</v>
      </c>
      <c r="F405" s="129">
        <f>E405-D405</f>
        <v>0</v>
      </c>
      <c r="G405" s="86">
        <f>IF(ISERROR(E405/D405-1)=TRUE,0,(E405/D405-1))</f>
        <v>0</v>
      </c>
      <c r="I405" s="71"/>
      <c r="N405" s="76"/>
    </row>
    <row r="406" spans="2:14" ht="15.75" hidden="1" thickBot="1">
      <c r="B406" s="100" t="s">
        <v>102</v>
      </c>
      <c r="C406" s="74" t="s">
        <v>95</v>
      </c>
      <c r="D406" s="131">
        <v>4.31198E-3</v>
      </c>
      <c r="E406" s="131">
        <f>E$387</f>
        <v>4.31198E-3</v>
      </c>
      <c r="F406" s="128">
        <f>E406-D406</f>
        <v>0</v>
      </c>
      <c r="G406" s="83">
        <f>IF(ISERROR(E406/D406-1)=TRUE,0,(E406/D406-1))</f>
        <v>0</v>
      </c>
      <c r="I406" s="71"/>
      <c r="N406" s="76"/>
    </row>
    <row r="407" spans="2:14" ht="13.5" hidden="1" thickBot="1">
      <c r="B407" s="100" t="s">
        <v>98</v>
      </c>
      <c r="C407" s="74"/>
      <c r="D407" s="130">
        <f>SUM(D405:D406)</f>
        <v>0.35707446999999998</v>
      </c>
      <c r="E407" s="130">
        <f>SUM(E405:E406)</f>
        <v>0.35707446999999998</v>
      </c>
      <c r="F407" s="129">
        <f>SUM(F405:F406)</f>
        <v>0</v>
      </c>
      <c r="G407" s="86">
        <f>IF(ISERROR(E407/D407-1)=TRUE,0,(E407/D407-1))</f>
        <v>0</v>
      </c>
      <c r="I407" s="71"/>
      <c r="N407" s="76"/>
    </row>
    <row r="408" spans="2:14" ht="6.6" hidden="1" customHeight="1">
      <c r="B408" s="90"/>
      <c r="C408" s="74"/>
      <c r="D408" s="103"/>
      <c r="E408" s="103"/>
      <c r="F408" s="128"/>
      <c r="G408" s="83"/>
      <c r="I408" s="71"/>
      <c r="N408" s="76"/>
    </row>
    <row r="409" spans="2:14" ht="15" hidden="1" customHeight="1">
      <c r="B409" s="104" t="s">
        <v>103</v>
      </c>
      <c r="C409" s="74" t="s">
        <v>95</v>
      </c>
      <c r="D409" s="130">
        <v>0</v>
      </c>
      <c r="E409" s="130">
        <f>E$390</f>
        <v>0</v>
      </c>
      <c r="F409" s="129">
        <f>E409-D409</f>
        <v>0</v>
      </c>
      <c r="G409" s="86">
        <f>IF(ISERROR(E409/D409-1)=TRUE,0,(E409/D409-1))</f>
        <v>0</v>
      </c>
      <c r="I409" s="71"/>
      <c r="N409" s="76"/>
    </row>
    <row r="410" spans="2:14" ht="3.6" hidden="1" customHeight="1">
      <c r="B410" s="90"/>
      <c r="C410" s="74"/>
      <c r="D410" s="88"/>
      <c r="E410" s="130"/>
      <c r="F410" s="129"/>
      <c r="G410" s="86"/>
      <c r="I410" s="71"/>
      <c r="N410" s="76"/>
    </row>
    <row r="411" spans="2:14" ht="15" hidden="1" customHeight="1">
      <c r="B411" s="75" t="s">
        <v>105</v>
      </c>
      <c r="C411" s="74" t="s">
        <v>95</v>
      </c>
      <c r="D411" s="88">
        <f>D397+D403</f>
        <v>7.9467451043864497</v>
      </c>
      <c r="E411" s="88">
        <f>E397+E403</f>
        <v>8.3956136805588883</v>
      </c>
      <c r="F411" s="129">
        <f>E411-D411</f>
        <v>0.44886857617243869</v>
      </c>
      <c r="G411" s="86">
        <f>IF(ISERROR(E411/D411-1)=TRUE,0,(E411/D411-1))</f>
        <v>5.6484582086906432E-2</v>
      </c>
      <c r="I411" s="71"/>
      <c r="N411" s="76"/>
    </row>
    <row r="412" spans="2:14" ht="15" hidden="1" customHeight="1">
      <c r="B412" s="75" t="s">
        <v>106</v>
      </c>
      <c r="C412" s="74" t="s">
        <v>95</v>
      </c>
      <c r="D412" s="85">
        <f>D398+D407+D409</f>
        <v>4.6384072501483935</v>
      </c>
      <c r="E412" s="85">
        <f>E398+E407+E409</f>
        <v>4.9353555479226534</v>
      </c>
      <c r="F412" s="128">
        <f>E412-D412</f>
        <v>0.29694829777425991</v>
      </c>
      <c r="G412" s="83">
        <f>IF(ISERROR(E412/D412-1)=TRUE,0,(E412/D412-1))</f>
        <v>6.4019453609805321E-2</v>
      </c>
      <c r="I412" s="71"/>
      <c r="N412" s="76"/>
    </row>
    <row r="413" spans="2:14" ht="13.5" hidden="1" thickBot="1">
      <c r="B413" s="78" t="s">
        <v>113</v>
      </c>
      <c r="C413" s="74" t="s">
        <v>95</v>
      </c>
      <c r="D413" s="127">
        <f>D411+D412</f>
        <v>12.585152354534843</v>
      </c>
      <c r="E413" s="127">
        <f>E411+E412</f>
        <v>13.330969228481543</v>
      </c>
      <c r="F413" s="127">
        <f>F399+F403+F407+F409</f>
        <v>0.74581687394669771</v>
      </c>
      <c r="G413" s="72">
        <f>IF(ISERROR(E413/D413-1)=TRUE,0,(E413/D413-1))</f>
        <v>5.9261648404117739E-2</v>
      </c>
      <c r="I413" s="71"/>
      <c r="N413" s="76"/>
    </row>
    <row r="414" spans="2:14" ht="8.85" hidden="1" customHeight="1" thickBot="1">
      <c r="B414" s="64"/>
      <c r="C414" s="63"/>
      <c r="D414" s="126"/>
      <c r="E414" s="126"/>
      <c r="F414" s="125"/>
      <c r="G414" s="124"/>
      <c r="I414" s="64"/>
      <c r="J414" s="63"/>
      <c r="K414" s="63"/>
      <c r="L414" s="63"/>
      <c r="M414" s="63"/>
      <c r="N414" s="123"/>
    </row>
    <row r="415" spans="2:14" ht="20.25">
      <c r="B415" s="122" t="s">
        <v>140</v>
      </c>
      <c r="C415" s="121"/>
      <c r="D415" s="120"/>
      <c r="E415" s="120"/>
      <c r="F415" s="119"/>
      <c r="G415" s="118"/>
      <c r="I415" s="71"/>
      <c r="N415" s="76"/>
    </row>
    <row r="416" spans="2:14" ht="20.25">
      <c r="B416" s="117"/>
      <c r="C416" s="74"/>
      <c r="D416" s="88"/>
      <c r="E416" s="88"/>
      <c r="F416" s="87"/>
      <c r="G416" s="86"/>
      <c r="I416" s="71"/>
      <c r="N416" s="76"/>
    </row>
    <row r="417" spans="2:14" ht="15">
      <c r="B417" s="114" t="s">
        <v>141</v>
      </c>
      <c r="C417" s="81"/>
      <c r="D417" s="88"/>
      <c r="E417" s="88"/>
      <c r="F417" s="87"/>
      <c r="G417" s="86"/>
      <c r="I417" s="71"/>
      <c r="N417" s="76"/>
    </row>
    <row r="418" spans="2:14" ht="14.25">
      <c r="B418" s="115" t="s">
        <v>80</v>
      </c>
      <c r="C418" s="81" t="s">
        <v>125</v>
      </c>
      <c r="D418" s="88">
        <v>12.730738600238888</v>
      </c>
      <c r="E418" s="88">
        <v>14.234881139832121</v>
      </c>
      <c r="F418" s="87">
        <f>E418-D418</f>
        <v>1.5041425395932322</v>
      </c>
      <c r="G418" s="86">
        <f>IF(ISERROR(E418/D418-1)=TRUE,0,(E418/D418-1))</f>
        <v>0.11815045354595588</v>
      </c>
      <c r="I418" s="106">
        <v>69148.936170212764</v>
      </c>
      <c r="J418" s="57" t="s">
        <v>117</v>
      </c>
      <c r="K418" s="77">
        <f>D418*I418</f>
        <v>880317.03086758265</v>
      </c>
      <c r="L418" s="77">
        <f>E418*I418</f>
        <v>984326.88732881681</v>
      </c>
      <c r="M418" s="77">
        <f>L418</f>
        <v>984326.88732881681</v>
      </c>
      <c r="N418" s="76"/>
    </row>
    <row r="419" spans="2:14" ht="14.25">
      <c r="B419" s="115" t="s">
        <v>118</v>
      </c>
      <c r="C419" s="81" t="s">
        <v>119</v>
      </c>
      <c r="D419" s="88">
        <v>0</v>
      </c>
      <c r="E419" s="88">
        <v>0</v>
      </c>
      <c r="F419" s="87">
        <f>E419-D419</f>
        <v>0</v>
      </c>
      <c r="G419" s="86">
        <f>IF(ISERROR(E419/D419-1)=TRUE,0,(E419/D419-1))</f>
        <v>0</v>
      </c>
      <c r="I419" s="71"/>
      <c r="N419" s="76"/>
    </row>
    <row r="420" spans="2:14" ht="14.25">
      <c r="B420" s="115" t="s">
        <v>130</v>
      </c>
      <c r="C420" s="81" t="s">
        <v>125</v>
      </c>
      <c r="D420" s="88">
        <v>-8.4019250016970286</v>
      </c>
      <c r="E420" s="88">
        <v>-8.4336731290169062</v>
      </c>
      <c r="F420" s="87">
        <f>E420-D420</f>
        <v>-3.1748127319877639E-2</v>
      </c>
      <c r="G420" s="86">
        <f>IF(ISERROR(E420/D420-1)=TRUE,0,(E420/D420-1))</f>
        <v>3.7786730199882435E-3</v>
      </c>
      <c r="I420" s="106">
        <v>60638.297872340416</v>
      </c>
      <c r="J420" s="57" t="s">
        <v>117</v>
      </c>
      <c r="K420" s="77">
        <f>D420*I420</f>
        <v>-509478.43095396867</v>
      </c>
      <c r="L420" s="77">
        <f>E420*I420</f>
        <v>-511403.5833552804</v>
      </c>
      <c r="M420" s="77">
        <f>L420</f>
        <v>-511403.5833552804</v>
      </c>
      <c r="N420" s="76"/>
    </row>
    <row r="421" spans="2:14" ht="14.25">
      <c r="B421" s="115" t="s">
        <v>131</v>
      </c>
      <c r="C421" s="81" t="s">
        <v>125</v>
      </c>
      <c r="D421" s="85">
        <v>0</v>
      </c>
      <c r="E421" s="85">
        <v>0</v>
      </c>
      <c r="F421" s="116">
        <f>E421-D421</f>
        <v>0</v>
      </c>
      <c r="G421" s="83">
        <f>IF(ISERROR(E421/D421-1)=TRUE,0,(E421/D421-1))</f>
        <v>0</v>
      </c>
      <c r="I421" s="71"/>
      <c r="N421" s="76"/>
    </row>
    <row r="422" spans="2:14" ht="14.25">
      <c r="B422" s="115" t="s">
        <v>30</v>
      </c>
      <c r="C422" s="81"/>
      <c r="D422" s="73">
        <f>SUM(D418:D421)</f>
        <v>4.3288135985418599</v>
      </c>
      <c r="E422" s="73">
        <f>SUM(E418:E421)</f>
        <v>5.8012080108152144</v>
      </c>
      <c r="F422" s="73">
        <f>SUM(F418:F421)</f>
        <v>1.4723944122733545</v>
      </c>
      <c r="G422" s="86">
        <f>IF(ISERROR(E422/D422-1)=TRUE,0,(E422/D422-1))</f>
        <v>0.3401380952899713</v>
      </c>
      <c r="I422" s="71"/>
      <c r="N422" s="76"/>
    </row>
    <row r="423" spans="2:14" ht="15">
      <c r="B423" s="114" t="s">
        <v>77</v>
      </c>
      <c r="C423" s="81"/>
      <c r="D423" s="73"/>
      <c r="E423" s="73"/>
      <c r="F423" s="87"/>
      <c r="G423" s="107"/>
      <c r="I423" s="71"/>
      <c r="N423" s="76"/>
    </row>
    <row r="424" spans="2:14" ht="15">
      <c r="B424" s="113" t="s">
        <v>132</v>
      </c>
      <c r="C424" s="81"/>
      <c r="D424" s="73"/>
      <c r="E424" s="73"/>
      <c r="F424" s="87"/>
      <c r="G424" s="107"/>
      <c r="I424" s="71"/>
      <c r="N424" s="76"/>
    </row>
    <row r="425" spans="2:14">
      <c r="B425" s="100" t="s">
        <v>94</v>
      </c>
      <c r="C425" s="81" t="s">
        <v>95</v>
      </c>
      <c r="D425" s="88">
        <v>7.6527995947145575</v>
      </c>
      <c r="E425" s="88">
        <v>8.761896560895968</v>
      </c>
      <c r="F425" s="87">
        <f>E425-D425</f>
        <v>1.1090969661814105</v>
      </c>
      <c r="G425" s="86">
        <f>IF(ISERROR(E425/D425-1)=TRUE,0,(E425/D425-1))</f>
        <v>0.14492695809614742</v>
      </c>
      <c r="I425" s="106">
        <v>5840000</v>
      </c>
      <c r="J425" s="57" t="s">
        <v>96</v>
      </c>
      <c r="K425" s="105">
        <f>D425/100*I425</f>
        <v>446923.49633133016</v>
      </c>
      <c r="L425" s="105">
        <f>E425/100*I425</f>
        <v>511694.75915632455</v>
      </c>
      <c r="M425" s="105">
        <f>L425</f>
        <v>511694.75915632455</v>
      </c>
      <c r="N425" s="76"/>
    </row>
    <row r="426" spans="2:14" ht="15">
      <c r="B426" s="104" t="s">
        <v>97</v>
      </c>
      <c r="C426" s="81" t="s">
        <v>95</v>
      </c>
      <c r="D426" s="103">
        <v>2.2741334286830561</v>
      </c>
      <c r="E426" s="103">
        <v>2.3742513978440525</v>
      </c>
      <c r="F426" s="84">
        <f>E426-D426</f>
        <v>0.10011796916099636</v>
      </c>
      <c r="G426" s="83">
        <f>IF(ISERROR(E426/D426-1)=TRUE,0,(E426/D426-1))</f>
        <v>4.4024667989236876E-2</v>
      </c>
      <c r="I426" s="89">
        <f>I425</f>
        <v>5840000</v>
      </c>
      <c r="J426" s="57" t="s">
        <v>96</v>
      </c>
      <c r="K426" s="102">
        <f>D426/100*I426</f>
        <v>132809.39223509049</v>
      </c>
      <c r="L426" s="102">
        <f>E426/100*I426</f>
        <v>138656.28163409268</v>
      </c>
      <c r="M426" s="102">
        <f>L426</f>
        <v>138656.28163409268</v>
      </c>
      <c r="N426" s="76"/>
    </row>
    <row r="427" spans="2:14">
      <c r="B427" s="100" t="s">
        <v>98</v>
      </c>
      <c r="C427" s="81"/>
      <c r="D427" s="88">
        <f>SUM(D424:D426)</f>
        <v>9.9269330233976127</v>
      </c>
      <c r="E427" s="88">
        <f>SUM(E425:E426)</f>
        <v>11.13614795874002</v>
      </c>
      <c r="F427" s="87">
        <f>E427-D427</f>
        <v>1.2092149353424073</v>
      </c>
      <c r="G427" s="86">
        <f>IF(ISERROR(E427/D427-1)=TRUE,0,(E427/D427-1))</f>
        <v>0.12181153358165187</v>
      </c>
      <c r="I427" s="71"/>
      <c r="K427" s="101">
        <f>SUM(K425:K426)</f>
        <v>579732.88856642065</v>
      </c>
      <c r="L427" s="101">
        <f>SUM(L425:L426)</f>
        <v>650351.04079041723</v>
      </c>
      <c r="M427" s="101">
        <f>SUM(M425:M426)</f>
        <v>650351.04079041723</v>
      </c>
      <c r="N427" s="76"/>
    </row>
    <row r="428" spans="2:14">
      <c r="B428" s="100"/>
      <c r="C428" s="81"/>
      <c r="D428" s="88"/>
      <c r="E428" s="88"/>
      <c r="F428" s="87"/>
      <c r="G428" s="86"/>
      <c r="I428" s="71"/>
      <c r="N428" s="76"/>
    </row>
    <row r="429" spans="2:14">
      <c r="B429" s="104" t="s">
        <v>99</v>
      </c>
      <c r="C429" s="81" t="s">
        <v>95</v>
      </c>
      <c r="D429" s="88">
        <v>0</v>
      </c>
      <c r="E429" s="88">
        <v>0</v>
      </c>
      <c r="F429" s="87">
        <f>E429-D429</f>
        <v>0</v>
      </c>
      <c r="G429" s="86">
        <f>IF(ISERROR(E429/D429-1)=TRUE,0,(E429/D429-1))</f>
        <v>0</v>
      </c>
      <c r="I429" s="89">
        <f>I425</f>
        <v>5840000</v>
      </c>
      <c r="J429" s="57" t="s">
        <v>96</v>
      </c>
      <c r="K429" s="105">
        <f>D429/100*I429</f>
        <v>0</v>
      </c>
      <c r="L429" s="105">
        <f>E429/100*I429</f>
        <v>0</v>
      </c>
      <c r="M429" s="105">
        <f>L429</f>
        <v>0</v>
      </c>
      <c r="N429" s="76"/>
    </row>
    <row r="430" spans="2:14" ht="15">
      <c r="B430" s="104" t="s">
        <v>100</v>
      </c>
      <c r="C430" s="81" t="s">
        <v>95</v>
      </c>
      <c r="D430" s="103">
        <v>0</v>
      </c>
      <c r="E430" s="103">
        <v>0</v>
      </c>
      <c r="F430" s="84">
        <f>E430-D430</f>
        <v>0</v>
      </c>
      <c r="G430" s="83">
        <f>IF(ISERROR(E430/D430-1)=TRUE,0,(E430/D430-1))</f>
        <v>0</v>
      </c>
      <c r="I430" s="89">
        <f>I429</f>
        <v>5840000</v>
      </c>
      <c r="J430" s="57" t="s">
        <v>96</v>
      </c>
      <c r="K430" s="102">
        <f>D430/100*I430</f>
        <v>0</v>
      </c>
      <c r="L430" s="102">
        <f>E430/100*I430</f>
        <v>0</v>
      </c>
      <c r="M430" s="102">
        <f>L430</f>
        <v>0</v>
      </c>
      <c r="N430" s="76"/>
    </row>
    <row r="431" spans="2:14">
      <c r="B431" s="100" t="s">
        <v>98</v>
      </c>
      <c r="C431" s="81"/>
      <c r="D431" s="88">
        <f>SUM(D429:D430)</f>
        <v>0</v>
      </c>
      <c r="E431" s="88">
        <f>SUM(E428:E430)</f>
        <v>0</v>
      </c>
      <c r="F431" s="87">
        <f>E431-D431</f>
        <v>0</v>
      </c>
      <c r="G431" s="86">
        <f>IF(ISERROR(E431/D431-1)=TRUE,0,(E431/D431-1))</f>
        <v>0</v>
      </c>
      <c r="I431" s="71"/>
      <c r="K431" s="101">
        <f>SUM(K429:K430)</f>
        <v>0</v>
      </c>
      <c r="L431" s="101">
        <f>SUM(L429:L430)</f>
        <v>0</v>
      </c>
      <c r="M431" s="101">
        <f>SUM(M429:M430)</f>
        <v>0</v>
      </c>
      <c r="N431" s="76"/>
    </row>
    <row r="432" spans="2:14">
      <c r="B432" s="100"/>
      <c r="C432" s="81"/>
      <c r="D432" s="88"/>
      <c r="E432" s="88"/>
      <c r="F432" s="87"/>
      <c r="G432" s="86"/>
      <c r="I432" s="71"/>
      <c r="N432" s="76"/>
    </row>
    <row r="433" spans="2:14">
      <c r="B433" s="100" t="s">
        <v>101</v>
      </c>
      <c r="C433" s="81" t="s">
        <v>95</v>
      </c>
      <c r="D433" s="88">
        <v>0</v>
      </c>
      <c r="E433" s="88">
        <v>0</v>
      </c>
      <c r="F433" s="87">
        <f>E433-D433</f>
        <v>0</v>
      </c>
      <c r="G433" s="86">
        <f>IF(ISERROR(E433/D433-1)=TRUE,0,(E433/D433-1))</f>
        <v>0</v>
      </c>
      <c r="I433" s="89">
        <f>I430</f>
        <v>5840000</v>
      </c>
      <c r="J433" s="57" t="s">
        <v>96</v>
      </c>
      <c r="K433" s="105">
        <f>D433/100*I433</f>
        <v>0</v>
      </c>
      <c r="L433" s="105">
        <f>E433/100*I433</f>
        <v>0</v>
      </c>
      <c r="M433" s="105">
        <f>L433</f>
        <v>0</v>
      </c>
      <c r="N433" s="76"/>
    </row>
    <row r="434" spans="2:14" ht="15">
      <c r="B434" s="100" t="s">
        <v>102</v>
      </c>
      <c r="C434" s="81" t="s">
        <v>95</v>
      </c>
      <c r="D434" s="103">
        <v>0</v>
      </c>
      <c r="E434" s="103">
        <v>0</v>
      </c>
      <c r="F434" s="84">
        <f>E434-D434</f>
        <v>0</v>
      </c>
      <c r="G434" s="83">
        <f>IF(ISERROR(E434/D434-1)=TRUE,0,(E434/D434-1))</f>
        <v>0</v>
      </c>
      <c r="I434" s="89">
        <f>I433</f>
        <v>5840000</v>
      </c>
      <c r="J434" s="57" t="s">
        <v>96</v>
      </c>
      <c r="K434" s="102">
        <f>D434/100*I434</f>
        <v>0</v>
      </c>
      <c r="L434" s="102">
        <f>E434/100*I434</f>
        <v>0</v>
      </c>
      <c r="M434" s="102">
        <f>L434</f>
        <v>0</v>
      </c>
      <c r="N434" s="76"/>
    </row>
    <row r="435" spans="2:14">
      <c r="B435" s="100" t="s">
        <v>98</v>
      </c>
      <c r="C435" s="81"/>
      <c r="D435" s="88">
        <f>SUM(D433:D434)</f>
        <v>0</v>
      </c>
      <c r="E435" s="88">
        <f>SUM(E433:E434)</f>
        <v>0</v>
      </c>
      <c r="F435" s="87">
        <f>SUM(F433:F434)</f>
        <v>0</v>
      </c>
      <c r="G435" s="86">
        <f>IF(ISERROR(E435/D435-1)=TRUE,0,(E435/D435-1))</f>
        <v>0</v>
      </c>
      <c r="I435" s="71"/>
      <c r="K435" s="101">
        <f>SUM(K433:K434)</f>
        <v>0</v>
      </c>
      <c r="L435" s="101">
        <f>SUM(L433:L434)</f>
        <v>0</v>
      </c>
      <c r="M435" s="101">
        <f>SUM(M433:M434)</f>
        <v>0</v>
      </c>
      <c r="N435" s="76"/>
    </row>
    <row r="436" spans="2:14">
      <c r="B436" s="90"/>
      <c r="C436" s="81"/>
      <c r="D436" s="88"/>
      <c r="E436" s="88"/>
      <c r="F436" s="87"/>
      <c r="G436" s="86"/>
      <c r="I436" s="71"/>
      <c r="N436" s="76"/>
    </row>
    <row r="437" spans="2:14">
      <c r="B437" s="104" t="s">
        <v>133</v>
      </c>
      <c r="C437" s="81" t="s">
        <v>95</v>
      </c>
      <c r="D437" s="88">
        <v>0</v>
      </c>
      <c r="E437" s="88">
        <v>0</v>
      </c>
      <c r="F437" s="87">
        <f>E437-D437</f>
        <v>0</v>
      </c>
      <c r="G437" s="112"/>
      <c r="I437" s="89">
        <f>I434</f>
        <v>5840000</v>
      </c>
      <c r="J437" s="57" t="s">
        <v>96</v>
      </c>
      <c r="K437" s="105">
        <f>D437/100*I437</f>
        <v>0</v>
      </c>
      <c r="L437" s="105">
        <f>E437/100*I437</f>
        <v>0</v>
      </c>
      <c r="M437" s="105">
        <f>L437</f>
        <v>0</v>
      </c>
      <c r="N437" s="76"/>
    </row>
    <row r="438" spans="2:14" ht="15">
      <c r="B438" s="104" t="s">
        <v>134</v>
      </c>
      <c r="C438" s="81" t="s">
        <v>95</v>
      </c>
      <c r="D438" s="103">
        <v>0</v>
      </c>
      <c r="E438" s="103">
        <v>0</v>
      </c>
      <c r="F438" s="84">
        <f>E438-D438</f>
        <v>0</v>
      </c>
      <c r="G438" s="112"/>
      <c r="I438" s="89">
        <f>I437</f>
        <v>5840000</v>
      </c>
      <c r="J438" s="57" t="s">
        <v>96</v>
      </c>
      <c r="K438" s="102">
        <f>D438/100*I438</f>
        <v>0</v>
      </c>
      <c r="L438" s="102">
        <f>E438/100*I438</f>
        <v>0</v>
      </c>
      <c r="M438" s="102">
        <f>L438</f>
        <v>0</v>
      </c>
      <c r="N438" s="76"/>
    </row>
    <row r="439" spans="2:14">
      <c r="B439" s="100" t="s">
        <v>98</v>
      </c>
      <c r="C439" s="81"/>
      <c r="D439" s="88">
        <f>SUM(D437:D438)</f>
        <v>0</v>
      </c>
      <c r="E439" s="88">
        <f>SUM(E437:E438)</f>
        <v>0</v>
      </c>
      <c r="F439" s="87">
        <f>SUM(F437:F438)</f>
        <v>0</v>
      </c>
      <c r="G439" s="112"/>
      <c r="I439" s="71"/>
      <c r="K439" s="101">
        <f>SUM(K437:K438)</f>
        <v>0</v>
      </c>
      <c r="L439" s="101">
        <f>SUM(L437:L438)</f>
        <v>0</v>
      </c>
      <c r="M439" s="101">
        <f>SUM(M437:M438)</f>
        <v>0</v>
      </c>
      <c r="N439" s="76"/>
    </row>
    <row r="440" spans="2:14">
      <c r="B440" s="100"/>
      <c r="C440" s="81"/>
      <c r="D440" s="88"/>
      <c r="E440" s="88"/>
      <c r="F440" s="87"/>
      <c r="G440" s="112"/>
      <c r="I440" s="71"/>
      <c r="K440" s="101"/>
      <c r="L440" s="101"/>
      <c r="M440" s="101"/>
      <c r="N440" s="76"/>
    </row>
    <row r="441" spans="2:14">
      <c r="B441" s="99" t="s">
        <v>104</v>
      </c>
      <c r="C441" s="98" t="s">
        <v>95</v>
      </c>
      <c r="D441" s="97"/>
      <c r="E441" s="97">
        <f>HLOOKUP('Bill Impacts'!$J$16,'Fee Impact'!$C$123:$H$135,9,FALSE)</f>
        <v>0.18039652064670639</v>
      </c>
      <c r="F441" s="96"/>
      <c r="G441" s="95"/>
      <c r="H441" s="93"/>
      <c r="I441" s="94">
        <f>I438</f>
        <v>5840000</v>
      </c>
      <c r="J441" s="93" t="s">
        <v>96</v>
      </c>
      <c r="K441" s="92">
        <f>D441/100*I441</f>
        <v>0</v>
      </c>
      <c r="L441" s="92"/>
      <c r="M441" s="91">
        <f>E441/100*I441</f>
        <v>10535.156805767654</v>
      </c>
      <c r="N441" s="76"/>
    </row>
    <row r="442" spans="2:14">
      <c r="B442" s="90"/>
      <c r="C442" s="81"/>
      <c r="D442" s="88"/>
      <c r="E442" s="88"/>
      <c r="F442" s="87"/>
      <c r="G442" s="86"/>
      <c r="I442" s="71"/>
      <c r="N442" s="76"/>
    </row>
    <row r="443" spans="2:14">
      <c r="B443" s="75" t="s">
        <v>105</v>
      </c>
      <c r="C443" s="81" t="s">
        <v>95</v>
      </c>
      <c r="D443" s="88">
        <f>D425+D431</f>
        <v>7.6527995947145575</v>
      </c>
      <c r="E443" s="88">
        <f>E425+E431</f>
        <v>8.761896560895968</v>
      </c>
      <c r="F443" s="87">
        <f>E443-D443</f>
        <v>1.1090969661814105</v>
      </c>
      <c r="G443" s="86">
        <f>IF(ISERROR(E443/D443-1)=TRUE,0,(E443/D443-1))</f>
        <v>0.14492695809614742</v>
      </c>
      <c r="I443" s="89">
        <f>I438</f>
        <v>5840000</v>
      </c>
      <c r="J443" s="57" t="s">
        <v>96</v>
      </c>
      <c r="K443" s="105">
        <f>K425+K431</f>
        <v>446923.49633133016</v>
      </c>
      <c r="L443" s="105">
        <f>L425+L431</f>
        <v>511694.75915632455</v>
      </c>
      <c r="M443" s="105">
        <f>M425+M431</f>
        <v>511694.75915632455</v>
      </c>
      <c r="N443" s="76"/>
    </row>
    <row r="444" spans="2:14" ht="15">
      <c r="B444" s="75" t="s">
        <v>106</v>
      </c>
      <c r="C444" s="81" t="s">
        <v>95</v>
      </c>
      <c r="D444" s="84">
        <f>D426+D435+D437</f>
        <v>2.2741334286830561</v>
      </c>
      <c r="E444" s="84">
        <f>E426+E435+E437</f>
        <v>2.3742513978440525</v>
      </c>
      <c r="F444" s="84">
        <f>E444-D444</f>
        <v>0.10011796916099636</v>
      </c>
      <c r="G444" s="83">
        <f>IF(ISERROR(E444/D444-1)=TRUE,0,(E444/D444-1))</f>
        <v>4.4024667989236876E-2</v>
      </c>
      <c r="I444" s="89">
        <f>I443</f>
        <v>5840000</v>
      </c>
      <c r="J444" s="57" t="s">
        <v>96</v>
      </c>
      <c r="K444" s="111">
        <f>K426+K435+K437</f>
        <v>132809.39223509049</v>
      </c>
      <c r="L444" s="111">
        <f>L426+L435+L437</f>
        <v>138656.28163409268</v>
      </c>
      <c r="M444" s="111">
        <f>M426+M435+M437+M441</f>
        <v>149191.43843986033</v>
      </c>
      <c r="N444" s="76"/>
    </row>
    <row r="445" spans="2:14">
      <c r="B445" s="78" t="s">
        <v>107</v>
      </c>
      <c r="C445" s="81"/>
      <c r="D445" s="73">
        <f>D443+D444</f>
        <v>9.9269330233976127</v>
      </c>
      <c r="E445" s="73">
        <f>E427+E431+E435+E437</f>
        <v>11.13614795874002</v>
      </c>
      <c r="F445" s="73">
        <f>F427+F431+F435+F437</f>
        <v>1.2092149353424073</v>
      </c>
      <c r="G445" s="72">
        <f>IF(ISERROR(E445/D445-1)=TRUE,0,(E445/D445-1))</f>
        <v>0.12181153358165187</v>
      </c>
      <c r="I445" s="71"/>
      <c r="K445" s="110">
        <f>K443+K444</f>
        <v>579732.88856642065</v>
      </c>
      <c r="L445" s="110">
        <f>L443+L444</f>
        <v>650351.04079041723</v>
      </c>
      <c r="M445" s="110">
        <f>M443+M444</f>
        <v>660886.19759618491</v>
      </c>
      <c r="N445" s="76"/>
    </row>
    <row r="446" spans="2:14">
      <c r="B446" s="78"/>
      <c r="C446" s="81"/>
      <c r="D446" s="73"/>
      <c r="E446" s="73"/>
      <c r="F446" s="109"/>
      <c r="G446" s="72"/>
      <c r="I446" s="71"/>
      <c r="N446" s="76"/>
    </row>
    <row r="447" spans="2:14" ht="15">
      <c r="B447" s="108" t="s">
        <v>135</v>
      </c>
      <c r="C447" s="81"/>
      <c r="D447" s="73"/>
      <c r="E447" s="73"/>
      <c r="F447" s="87"/>
      <c r="G447" s="107"/>
      <c r="I447" s="71"/>
      <c r="N447" s="76"/>
    </row>
    <row r="448" spans="2:14">
      <c r="B448" s="100" t="s">
        <v>94</v>
      </c>
      <c r="C448" s="81" t="s">
        <v>95</v>
      </c>
      <c r="D448" s="88">
        <v>7.6527995947145575</v>
      </c>
      <c r="E448" s="88">
        <v>8.761896560895968</v>
      </c>
      <c r="F448" s="87">
        <f>E448-D448</f>
        <v>1.1090969661814105</v>
      </c>
      <c r="G448" s="86">
        <f>IF(ISERROR(E448/D448-1)=TRUE,0,(E448/D448-1))</f>
        <v>0.14492695809614742</v>
      </c>
      <c r="I448" s="106">
        <v>19516901.400677126</v>
      </c>
      <c r="J448" s="57" t="s">
        <v>96</v>
      </c>
      <c r="K448" s="105">
        <f>D448/100*I448</f>
        <v>1493589.3512918588</v>
      </c>
      <c r="L448" s="105">
        <f>E448/100*I448</f>
        <v>1710050.7126193861</v>
      </c>
      <c r="M448" s="105">
        <f>L448</f>
        <v>1710050.7126193861</v>
      </c>
      <c r="N448" s="76"/>
    </row>
    <row r="449" spans="2:14" ht="15">
      <c r="B449" s="104" t="s">
        <v>97</v>
      </c>
      <c r="C449" s="81" t="s">
        <v>95</v>
      </c>
      <c r="D449" s="103">
        <v>2.2741334286830561</v>
      </c>
      <c r="E449" s="103">
        <v>2.3742513978440525</v>
      </c>
      <c r="F449" s="84">
        <f>E449-D449</f>
        <v>0.10011796916099636</v>
      </c>
      <c r="G449" s="86">
        <f>IF(ISERROR(E449/D449-1)=TRUE,0,(E449/D449-1))</f>
        <v>4.4024667989236876E-2</v>
      </c>
      <c r="I449" s="89">
        <f>I448</f>
        <v>19516901.400677126</v>
      </c>
      <c r="J449" s="57" t="s">
        <v>96</v>
      </c>
      <c r="K449" s="102">
        <f>D449/100*I449</f>
        <v>443840.37899591011</v>
      </c>
      <c r="L449" s="102">
        <f>E449/100*I449</f>
        <v>463380.30432142213</v>
      </c>
      <c r="M449" s="102">
        <f>L449</f>
        <v>463380.30432142213</v>
      </c>
      <c r="N449" s="76"/>
    </row>
    <row r="450" spans="2:14">
      <c r="B450" s="100" t="s">
        <v>98</v>
      </c>
      <c r="C450" s="81"/>
      <c r="D450" s="88">
        <f>SUM(D447:D449)</f>
        <v>9.9269330233976127</v>
      </c>
      <c r="E450" s="88">
        <f>SUM(E448:E449)</f>
        <v>11.13614795874002</v>
      </c>
      <c r="F450" s="87">
        <f>E450-D450</f>
        <v>1.2092149353424073</v>
      </c>
      <c r="G450" s="86">
        <f>IF(ISERROR(E450/D450-1)=TRUE,0,(E450/D450-1))</f>
        <v>0.12181153358165187</v>
      </c>
      <c r="I450" s="71"/>
      <c r="K450" s="101">
        <f>SUM(K448:K449)</f>
        <v>1937429.7302877689</v>
      </c>
      <c r="L450" s="101">
        <f>SUM(L448:L449)</f>
        <v>2173431.0169408084</v>
      </c>
      <c r="M450" s="101">
        <f>SUM(M448:M449)</f>
        <v>2173431.0169408084</v>
      </c>
      <c r="N450" s="76"/>
    </row>
    <row r="451" spans="2:14">
      <c r="B451" s="100"/>
      <c r="C451" s="81"/>
      <c r="D451" s="88"/>
      <c r="E451" s="88"/>
      <c r="F451" s="87"/>
      <c r="G451" s="86"/>
      <c r="I451" s="71"/>
      <c r="N451" s="76"/>
    </row>
    <row r="452" spans="2:14">
      <c r="B452" s="104" t="s">
        <v>99</v>
      </c>
      <c r="C452" s="81" t="s">
        <v>95</v>
      </c>
      <c r="D452" s="88">
        <v>0</v>
      </c>
      <c r="E452" s="88">
        <v>0</v>
      </c>
      <c r="F452" s="87">
        <f>E452-D452</f>
        <v>0</v>
      </c>
      <c r="G452" s="86">
        <f>IF(ISERROR(E452/D452-1)=TRUE,0,(E452/D452-1))</f>
        <v>0</v>
      </c>
      <c r="I452" s="89">
        <f>I448</f>
        <v>19516901.400677126</v>
      </c>
      <c r="J452" s="57" t="s">
        <v>96</v>
      </c>
      <c r="K452" s="105">
        <f>D452/100*I452</f>
        <v>0</v>
      </c>
      <c r="L452" s="105">
        <f>E452/100*I452</f>
        <v>0</v>
      </c>
      <c r="M452" s="105">
        <f>L452</f>
        <v>0</v>
      </c>
      <c r="N452" s="76"/>
    </row>
    <row r="453" spans="2:14" ht="15">
      <c r="B453" s="104" t="s">
        <v>100</v>
      </c>
      <c r="C453" s="81" t="s">
        <v>95</v>
      </c>
      <c r="D453" s="103">
        <v>0</v>
      </c>
      <c r="E453" s="103">
        <v>0</v>
      </c>
      <c r="F453" s="84">
        <f>E453-D453</f>
        <v>0</v>
      </c>
      <c r="G453" s="83">
        <f>IF(ISERROR(E453/D453-1)=TRUE,0,(E453/D453-1))</f>
        <v>0</v>
      </c>
      <c r="I453" s="89">
        <f>I452</f>
        <v>19516901.400677126</v>
      </c>
      <c r="J453" s="57" t="s">
        <v>96</v>
      </c>
      <c r="K453" s="102">
        <f>D453/100*I453</f>
        <v>0</v>
      </c>
      <c r="L453" s="102">
        <f>E453/100*I453</f>
        <v>0</v>
      </c>
      <c r="M453" s="102">
        <f>L453</f>
        <v>0</v>
      </c>
      <c r="N453" s="76"/>
    </row>
    <row r="454" spans="2:14">
      <c r="B454" s="100" t="s">
        <v>98</v>
      </c>
      <c r="C454" s="81"/>
      <c r="D454" s="88">
        <f>SUM(D452:D453)</f>
        <v>0</v>
      </c>
      <c r="E454" s="88">
        <f>SUM(E451:E453)</f>
        <v>0</v>
      </c>
      <c r="F454" s="87">
        <f>SUM(F452:F453)</f>
        <v>0</v>
      </c>
      <c r="G454" s="86">
        <f>IF(ISERROR(E454/D454-1)=TRUE,0,(E454/D454-1))</f>
        <v>0</v>
      </c>
      <c r="I454" s="71"/>
      <c r="K454" s="101">
        <f>SUM(K452:K453)</f>
        <v>0</v>
      </c>
      <c r="L454" s="101">
        <f>SUM(L452:L453)</f>
        <v>0</v>
      </c>
      <c r="M454" s="101">
        <f>SUM(M452:M453)</f>
        <v>0</v>
      </c>
      <c r="N454" s="76"/>
    </row>
    <row r="455" spans="2:14">
      <c r="B455" s="100"/>
      <c r="C455" s="81"/>
      <c r="D455" s="88"/>
      <c r="E455" s="88"/>
      <c r="F455" s="87"/>
      <c r="G455" s="86"/>
      <c r="I455" s="71"/>
      <c r="N455" s="76"/>
    </row>
    <row r="456" spans="2:14">
      <c r="B456" s="100" t="s">
        <v>101</v>
      </c>
      <c r="C456" s="81" t="s">
        <v>95</v>
      </c>
      <c r="D456" s="88">
        <v>0</v>
      </c>
      <c r="E456" s="88">
        <v>0</v>
      </c>
      <c r="F456" s="87">
        <f>E456-D456</f>
        <v>0</v>
      </c>
      <c r="G456" s="86">
        <f>IF(ISERROR(E456/D456-1)=TRUE,0,(E456/D456-1))</f>
        <v>0</v>
      </c>
      <c r="I456" s="89">
        <f>I453</f>
        <v>19516901.400677126</v>
      </c>
      <c r="J456" s="57" t="s">
        <v>96</v>
      </c>
      <c r="K456" s="105">
        <f>D456/100*I456</f>
        <v>0</v>
      </c>
      <c r="L456" s="105">
        <f>E456/100*I456</f>
        <v>0</v>
      </c>
      <c r="M456" s="105">
        <f>L456</f>
        <v>0</v>
      </c>
      <c r="N456" s="76"/>
    </row>
    <row r="457" spans="2:14" ht="15">
      <c r="B457" s="100" t="s">
        <v>102</v>
      </c>
      <c r="C457" s="81" t="s">
        <v>95</v>
      </c>
      <c r="D457" s="103">
        <v>0</v>
      </c>
      <c r="E457" s="103">
        <v>0</v>
      </c>
      <c r="F457" s="84">
        <f>E457-D457</f>
        <v>0</v>
      </c>
      <c r="G457" s="83">
        <f>IF(ISERROR(E457/D457-1)=TRUE,0,(E457/D457-1))</f>
        <v>0</v>
      </c>
      <c r="I457" s="89">
        <f>I456</f>
        <v>19516901.400677126</v>
      </c>
      <c r="J457" s="57" t="s">
        <v>96</v>
      </c>
      <c r="K457" s="102">
        <f>D457/100*I457</f>
        <v>0</v>
      </c>
      <c r="L457" s="102">
        <f>E457/100*I457</f>
        <v>0</v>
      </c>
      <c r="M457" s="102">
        <f>L457</f>
        <v>0</v>
      </c>
      <c r="N457" s="76"/>
    </row>
    <row r="458" spans="2:14">
      <c r="B458" s="100" t="s">
        <v>98</v>
      </c>
      <c r="C458" s="81"/>
      <c r="D458" s="88">
        <f>SUM(D456:D457)</f>
        <v>0</v>
      </c>
      <c r="E458" s="88">
        <f>SUM(E456:E457)</f>
        <v>0</v>
      </c>
      <c r="F458" s="87">
        <f>SUM(F456:F457)</f>
        <v>0</v>
      </c>
      <c r="G458" s="86">
        <f>IF(ISERROR(E458/D458-1)=TRUE,0,(E458/D458-1))</f>
        <v>0</v>
      </c>
      <c r="I458" s="71"/>
      <c r="K458" s="101">
        <f>SUM(K456:K457)</f>
        <v>0</v>
      </c>
      <c r="L458" s="101">
        <f>SUM(L456:L457)</f>
        <v>0</v>
      </c>
      <c r="M458" s="101">
        <f>SUM(M456:M457)</f>
        <v>0</v>
      </c>
      <c r="N458" s="76"/>
    </row>
    <row r="459" spans="2:14" ht="15">
      <c r="B459" s="90"/>
      <c r="C459" s="81"/>
      <c r="D459" s="103"/>
      <c r="E459" s="103"/>
      <c r="F459" s="84"/>
      <c r="G459" s="83"/>
      <c r="I459" s="71"/>
      <c r="N459" s="76"/>
    </row>
    <row r="460" spans="2:14">
      <c r="B460" s="104" t="s">
        <v>133</v>
      </c>
      <c r="C460" s="81" t="s">
        <v>95</v>
      </c>
      <c r="D460" s="88">
        <v>0</v>
      </c>
      <c r="E460" s="88">
        <v>0</v>
      </c>
      <c r="F460" s="87">
        <f>E460-D460</f>
        <v>0</v>
      </c>
      <c r="G460" s="86">
        <f>IF(ISERROR(E460/D460-1)=TRUE,0,(E460/D460-1))</f>
        <v>0</v>
      </c>
      <c r="I460" s="89">
        <f>I457</f>
        <v>19516901.400677126</v>
      </c>
      <c r="J460" s="57" t="s">
        <v>96</v>
      </c>
      <c r="K460" s="105">
        <f>D460/100*I460</f>
        <v>0</v>
      </c>
      <c r="L460" s="105">
        <f>E460/100*I460</f>
        <v>0</v>
      </c>
      <c r="M460" s="105">
        <f>L460</f>
        <v>0</v>
      </c>
      <c r="N460" s="76"/>
    </row>
    <row r="461" spans="2:14" ht="15">
      <c r="B461" s="104" t="s">
        <v>134</v>
      </c>
      <c r="C461" s="81" t="s">
        <v>95</v>
      </c>
      <c r="D461" s="103">
        <v>0</v>
      </c>
      <c r="E461" s="103">
        <v>0</v>
      </c>
      <c r="F461" s="84">
        <f>E461-D461</f>
        <v>0</v>
      </c>
      <c r="G461" s="83">
        <f>IF(ISERROR(E461/D461-1)=TRUE,0,(E461/D461-1))</f>
        <v>0</v>
      </c>
      <c r="I461" s="89">
        <f>I460</f>
        <v>19516901.400677126</v>
      </c>
      <c r="J461" s="57" t="s">
        <v>96</v>
      </c>
      <c r="K461" s="102">
        <f>D461/100*I461</f>
        <v>0</v>
      </c>
      <c r="L461" s="102">
        <f>E461/100*I461</f>
        <v>0</v>
      </c>
      <c r="M461" s="102">
        <f>L461</f>
        <v>0</v>
      </c>
      <c r="N461" s="76"/>
    </row>
    <row r="462" spans="2:14">
      <c r="B462" s="100" t="s">
        <v>98</v>
      </c>
      <c r="C462" s="81"/>
      <c r="D462" s="88">
        <f>SUM(D460:D461)</f>
        <v>0</v>
      </c>
      <c r="E462" s="88">
        <f>SUM(E460:E461)</f>
        <v>0</v>
      </c>
      <c r="F462" s="87">
        <f>SUM(F460:F461)</f>
        <v>0</v>
      </c>
      <c r="G462" s="86">
        <f>IF(ISERROR(E462/D462-1)=TRUE,0,(E462/D462-1))</f>
        <v>0</v>
      </c>
      <c r="I462" s="71"/>
      <c r="K462" s="101">
        <f>SUM(K460:K461)</f>
        <v>0</v>
      </c>
      <c r="L462" s="101">
        <f>SUM(L460:L461)</f>
        <v>0</v>
      </c>
      <c r="M462" s="101">
        <f>SUM(M460:M461)</f>
        <v>0</v>
      </c>
      <c r="N462" s="76"/>
    </row>
    <row r="463" spans="2:14">
      <c r="B463" s="100"/>
      <c r="C463" s="81"/>
      <c r="D463" s="88"/>
      <c r="E463" s="88"/>
      <c r="F463" s="87"/>
      <c r="G463" s="86"/>
      <c r="I463" s="71"/>
      <c r="N463" s="76"/>
    </row>
    <row r="464" spans="2:14">
      <c r="B464" s="99" t="s">
        <v>104</v>
      </c>
      <c r="C464" s="98" t="s">
        <v>95</v>
      </c>
      <c r="D464" s="97"/>
      <c r="E464" s="97">
        <f>HLOOKUP('Bill Impacts'!$J$16,'Fee Impact'!$C$123:$H$135,9,FALSE)</f>
        <v>0.18039652064670639</v>
      </c>
      <c r="F464" s="96"/>
      <c r="G464" s="95"/>
      <c r="H464" s="93"/>
      <c r="I464" s="94">
        <f>I461</f>
        <v>19516901.400677126</v>
      </c>
      <c r="J464" s="93" t="s">
        <v>96</v>
      </c>
      <c r="K464" s="92">
        <f>D464/100*I464</f>
        <v>0</v>
      </c>
      <c r="L464" s="92"/>
      <c r="M464" s="91">
        <f>E464/100*I464</f>
        <v>35207.811064869842</v>
      </c>
      <c r="N464" s="76"/>
    </row>
    <row r="465" spans="2:14">
      <c r="B465" s="90"/>
      <c r="C465" s="81"/>
      <c r="D465" s="88"/>
      <c r="E465" s="88"/>
      <c r="F465" s="87"/>
      <c r="G465" s="86"/>
      <c r="I465" s="89"/>
      <c r="N465" s="76"/>
    </row>
    <row r="466" spans="2:14">
      <c r="B466" s="75" t="s">
        <v>105</v>
      </c>
      <c r="C466" s="81" t="s">
        <v>95</v>
      </c>
      <c r="D466" s="88">
        <f>D448+D454</f>
        <v>7.6527995947145575</v>
      </c>
      <c r="E466" s="88">
        <f>E448+E454</f>
        <v>8.761896560895968</v>
      </c>
      <c r="F466" s="87">
        <f>E466-D466</f>
        <v>1.1090969661814105</v>
      </c>
      <c r="G466" s="86">
        <f>IF(ISERROR(E466/D466-1)=TRUE,0,(E466/D466-1))</f>
        <v>0.14492695809614742</v>
      </c>
      <c r="I466" s="71"/>
      <c r="K466" s="70">
        <f>K448+K454</f>
        <v>1493589.3512918588</v>
      </c>
      <c r="L466" s="70">
        <f>L448+L454</f>
        <v>1710050.7126193861</v>
      </c>
      <c r="M466" s="70">
        <f>M448+M454</f>
        <v>1710050.7126193861</v>
      </c>
      <c r="N466" s="76"/>
    </row>
    <row r="467" spans="2:14" ht="15">
      <c r="B467" s="75" t="s">
        <v>106</v>
      </c>
      <c r="C467" s="81" t="s">
        <v>95</v>
      </c>
      <c r="D467" s="85">
        <f>D449+D458+D460</f>
        <v>2.2741334286830561</v>
      </c>
      <c r="E467" s="85">
        <f>E449+E458+E460</f>
        <v>2.3742513978440525</v>
      </c>
      <c r="F467" s="84">
        <f>E467-D467</f>
        <v>0.10011796916099636</v>
      </c>
      <c r="G467" s="83">
        <f>IF(ISERROR(E467/D467-1)=TRUE,0,(E467/D467-1))</f>
        <v>4.4024667989236876E-2</v>
      </c>
      <c r="I467" s="71"/>
      <c r="K467" s="82">
        <f>K449+K458+K460</f>
        <v>443840.37899591011</v>
      </c>
      <c r="L467" s="82">
        <f>L449+L458+L460</f>
        <v>463380.30432142213</v>
      </c>
      <c r="M467" s="82">
        <f>M449+M458+M460+M464</f>
        <v>498588.11538629199</v>
      </c>
      <c r="N467" s="76"/>
    </row>
    <row r="468" spans="2:14">
      <c r="B468" s="78" t="s">
        <v>113</v>
      </c>
      <c r="C468" s="81" t="s">
        <v>95</v>
      </c>
      <c r="D468" s="73">
        <f>D466+D467</f>
        <v>9.9269330233976127</v>
      </c>
      <c r="E468" s="73">
        <f>E466+E467</f>
        <v>11.13614795874002</v>
      </c>
      <c r="F468" s="73">
        <f>F450+F454+F458+F460</f>
        <v>1.2092149353424073</v>
      </c>
      <c r="G468" s="72">
        <f>IF(ISERROR(E468/D468-1)=TRUE,0,(E468/D468-1))</f>
        <v>0.12181153358165187</v>
      </c>
      <c r="I468" s="71"/>
      <c r="K468" s="80">
        <f>K466+K467</f>
        <v>1937429.7302877689</v>
      </c>
      <c r="L468" s="80">
        <f>L466+L467</f>
        <v>2173431.0169408084</v>
      </c>
      <c r="M468" s="80">
        <f>M466+M467</f>
        <v>2208638.828005678</v>
      </c>
      <c r="N468" s="76"/>
    </row>
    <row r="469" spans="2:14">
      <c r="B469" s="71"/>
      <c r="G469" s="79"/>
      <c r="I469" s="71"/>
      <c r="N469" s="76"/>
    </row>
    <row r="470" spans="2:14">
      <c r="B470" s="78" t="s">
        <v>108</v>
      </c>
      <c r="C470" s="74"/>
      <c r="D470" s="73"/>
      <c r="E470" s="73"/>
      <c r="F470" s="73"/>
      <c r="G470" s="72"/>
      <c r="I470" s="71"/>
      <c r="K470" s="77"/>
      <c r="L470" s="77"/>
      <c r="M470" s="77"/>
      <c r="N470" s="76"/>
    </row>
    <row r="471" spans="2:14">
      <c r="B471" s="75" t="s">
        <v>122</v>
      </c>
      <c r="C471" s="74"/>
      <c r="D471" s="73"/>
      <c r="E471" s="73"/>
      <c r="F471" s="73"/>
      <c r="G471" s="72"/>
      <c r="I471" s="71"/>
      <c r="K471" s="70">
        <f>K418+K420</f>
        <v>370838.59991361399</v>
      </c>
      <c r="L471" s="70">
        <f>L418+L420</f>
        <v>472923.30397353641</v>
      </c>
      <c r="M471" s="70">
        <f>M418+M420</f>
        <v>472923.30397353641</v>
      </c>
      <c r="N471" s="69"/>
    </row>
    <row r="472" spans="2:14">
      <c r="B472" s="75" t="s">
        <v>105</v>
      </c>
      <c r="C472" s="74"/>
      <c r="D472" s="73"/>
      <c r="E472" s="73"/>
      <c r="F472" s="73"/>
      <c r="G472" s="72"/>
      <c r="I472" s="71"/>
      <c r="K472" s="70">
        <f t="shared" ref="K472:M473" si="12">K443+K466</f>
        <v>1940512.847623189</v>
      </c>
      <c r="L472" s="70">
        <f t="shared" si="12"/>
        <v>2221745.4717757106</v>
      </c>
      <c r="M472" s="70">
        <f t="shared" si="12"/>
        <v>2221745.4717757106</v>
      </c>
      <c r="N472" s="69"/>
    </row>
    <row r="473" spans="2:14">
      <c r="B473" s="75" t="s">
        <v>106</v>
      </c>
      <c r="C473" s="74"/>
      <c r="D473" s="73"/>
      <c r="E473" s="73"/>
      <c r="F473" s="73"/>
      <c r="G473" s="72"/>
      <c r="I473" s="71"/>
      <c r="K473" s="70">
        <f t="shared" si="12"/>
        <v>576649.77123100054</v>
      </c>
      <c r="L473" s="70">
        <f t="shared" si="12"/>
        <v>602036.58595551481</v>
      </c>
      <c r="M473" s="70">
        <f t="shared" si="12"/>
        <v>647779.55382615235</v>
      </c>
      <c r="N473" s="69"/>
    </row>
    <row r="474" spans="2:14" ht="13.5" thickBot="1">
      <c r="B474" s="68" t="s">
        <v>110</v>
      </c>
      <c r="C474" s="67"/>
      <c r="D474" s="66"/>
      <c r="E474" s="66"/>
      <c r="F474" s="66"/>
      <c r="G474" s="65"/>
      <c r="I474" s="64"/>
      <c r="J474" s="63"/>
      <c r="K474" s="62">
        <f>SUM(K471:K473)</f>
        <v>2888001.2187678032</v>
      </c>
      <c r="L474" s="62">
        <f>SUM(L471:L473)</f>
        <v>3296705.3617047621</v>
      </c>
      <c r="M474" s="62">
        <f>SUM(M471:M473)</f>
        <v>3342448.3295753994</v>
      </c>
      <c r="N474" s="61">
        <f>M474/L474-1</f>
        <v>1.3875358229460621E-2</v>
      </c>
    </row>
  </sheetData>
  <mergeCells count="2">
    <mergeCell ref="B2:G2"/>
    <mergeCell ref="I2:N2"/>
  </mergeCells>
  <conditionalFormatting sqref="B3:B21 B415:G436">
    <cfRule type="cellIs" dxfId="73" priority="195" stopIfTrue="1" operator="lessThan">
      <formula>0</formula>
    </cfRule>
  </conditionalFormatting>
  <conditionalFormatting sqref="B437:F440">
    <cfRule type="cellIs" dxfId="72" priority="41" stopIfTrue="1" operator="lessThan">
      <formula>0</formula>
    </cfRule>
  </conditionalFormatting>
  <conditionalFormatting sqref="B22:G413">
    <cfRule type="cellIs" dxfId="71" priority="44" stopIfTrue="1" operator="lessThan">
      <formula>0</formula>
    </cfRule>
  </conditionalFormatting>
  <conditionalFormatting sqref="B441:G468">
    <cfRule type="cellIs" dxfId="70" priority="7" stopIfTrue="1" operator="lessThan">
      <formula>0</formula>
    </cfRule>
  </conditionalFormatting>
  <conditionalFormatting sqref="B470:G474">
    <cfRule type="cellIs" dxfId="69" priority="1" stopIfTrue="1" operator="lessThan">
      <formula>0</formula>
    </cfRule>
  </conditionalFormatting>
  <conditionalFormatting sqref="C4:G21">
    <cfRule type="cellIs" dxfId="68" priority="193" stopIfTrue="1" operator="lessThan">
      <formula>0</formula>
    </cfRule>
  </conditionalFormatting>
  <conditionalFormatting sqref="K441:L441">
    <cfRule type="cellIs" dxfId="67" priority="5" stopIfTrue="1" operator="lessThan">
      <formula>0</formula>
    </cfRule>
  </conditionalFormatting>
  <conditionalFormatting sqref="K464:L464">
    <cfRule type="cellIs" dxfId="66" priority="9" stopIfTrue="1" operator="lessThan">
      <formula>0</formula>
    </cfRule>
  </conditionalFormatting>
  <conditionalFormatting sqref="K9:M10">
    <cfRule type="cellIs" dxfId="65" priority="161" stopIfTrue="1" operator="lessThan">
      <formula>0</formula>
    </cfRule>
  </conditionalFormatting>
  <conditionalFormatting sqref="K13:M14">
    <cfRule type="cellIs" dxfId="64" priority="164" stopIfTrue="1" operator="lessThan">
      <formula>0</formula>
    </cfRule>
  </conditionalFormatting>
  <conditionalFormatting sqref="K17:M18">
    <cfRule type="cellIs" dxfId="63" priority="158" stopIfTrue="1" operator="lessThan">
      <formula>0</formula>
    </cfRule>
  </conditionalFormatting>
  <conditionalFormatting sqref="K23:M24">
    <cfRule type="cellIs" dxfId="62" priority="190" stopIfTrue="1" operator="lessThan">
      <formula>0</formula>
    </cfRule>
  </conditionalFormatting>
  <conditionalFormatting sqref="K28:M31">
    <cfRule type="cellIs" dxfId="61" priority="60" stopIfTrue="1" operator="lessThan">
      <formula>0</formula>
    </cfRule>
  </conditionalFormatting>
  <conditionalFormatting sqref="K39:M40">
    <cfRule type="cellIs" dxfId="60" priority="155" stopIfTrue="1" operator="lessThan">
      <formula>0</formula>
    </cfRule>
  </conditionalFormatting>
  <conditionalFormatting sqref="K43:M44">
    <cfRule type="cellIs" dxfId="59" priority="152" stopIfTrue="1" operator="lessThan">
      <formula>0</formula>
    </cfRule>
  </conditionalFormatting>
  <conditionalFormatting sqref="K47:M48">
    <cfRule type="cellIs" dxfId="58" priority="149" stopIfTrue="1" operator="lessThan">
      <formula>0</formula>
    </cfRule>
  </conditionalFormatting>
  <conditionalFormatting sqref="K53:M55">
    <cfRule type="cellIs" dxfId="57" priority="182" stopIfTrue="1" operator="lessThan">
      <formula>0</formula>
    </cfRule>
  </conditionalFormatting>
  <conditionalFormatting sqref="K58:M59">
    <cfRule type="cellIs" dxfId="56" priority="146" stopIfTrue="1" operator="lessThan">
      <formula>0</formula>
    </cfRule>
  </conditionalFormatting>
  <conditionalFormatting sqref="K62:M63">
    <cfRule type="cellIs" dxfId="55" priority="143" stopIfTrue="1" operator="lessThan">
      <formula>0</formula>
    </cfRule>
  </conditionalFormatting>
  <conditionalFormatting sqref="K66:M67">
    <cfRule type="cellIs" dxfId="54" priority="140" stopIfTrue="1" operator="lessThan">
      <formula>0</formula>
    </cfRule>
  </conditionalFormatting>
  <conditionalFormatting sqref="K75:M76 K78:M81">
    <cfRule type="cellIs" dxfId="53" priority="189" stopIfTrue="1" operator="lessThan">
      <formula>0</formula>
    </cfRule>
  </conditionalFormatting>
  <conditionalFormatting sqref="K91:M92">
    <cfRule type="cellIs" dxfId="52" priority="134" stopIfTrue="1" operator="lessThan">
      <formula>0</formula>
    </cfRule>
  </conditionalFormatting>
  <conditionalFormatting sqref="K95:M96">
    <cfRule type="cellIs" dxfId="51" priority="131" stopIfTrue="1" operator="lessThan">
      <formula>0</formula>
    </cfRule>
  </conditionalFormatting>
  <conditionalFormatting sqref="K99:M100">
    <cfRule type="cellIs" dxfId="50" priority="128" stopIfTrue="1" operator="lessThan">
      <formula>0</formula>
    </cfRule>
  </conditionalFormatting>
  <conditionalFormatting sqref="K105:M107">
    <cfRule type="cellIs" dxfId="49" priority="179" stopIfTrue="1" operator="lessThan">
      <formula>0</formula>
    </cfRule>
  </conditionalFormatting>
  <conditionalFormatting sqref="K110:M111">
    <cfRule type="cellIs" dxfId="48" priority="125" stopIfTrue="1" operator="lessThan">
      <formula>0</formula>
    </cfRule>
  </conditionalFormatting>
  <conditionalFormatting sqref="K114:M115">
    <cfRule type="cellIs" dxfId="47" priority="122" stopIfTrue="1" operator="lessThan">
      <formula>0</formula>
    </cfRule>
  </conditionalFormatting>
  <conditionalFormatting sqref="K118:M119">
    <cfRule type="cellIs" dxfId="46" priority="119" stopIfTrue="1" operator="lessThan">
      <formula>0</formula>
    </cfRule>
  </conditionalFormatting>
  <conditionalFormatting sqref="K124:M132">
    <cfRule type="cellIs" dxfId="45" priority="176" stopIfTrue="1" operator="lessThan">
      <formula>0</formula>
    </cfRule>
  </conditionalFormatting>
  <conditionalFormatting sqref="K134:M137">
    <cfRule type="cellIs" dxfId="44" priority="59" stopIfTrue="1" operator="lessThan">
      <formula>0</formula>
    </cfRule>
  </conditionalFormatting>
  <conditionalFormatting sqref="K147:M148">
    <cfRule type="cellIs" dxfId="43" priority="116" stopIfTrue="1" operator="lessThan">
      <formula>0</formula>
    </cfRule>
  </conditionalFormatting>
  <conditionalFormatting sqref="K151:M152">
    <cfRule type="cellIs" dxfId="42" priority="113" stopIfTrue="1" operator="lessThan">
      <formula>0</formula>
    </cfRule>
  </conditionalFormatting>
  <conditionalFormatting sqref="K155:M156">
    <cfRule type="cellIs" dxfId="41" priority="110" stopIfTrue="1" operator="lessThan">
      <formula>0</formula>
    </cfRule>
  </conditionalFormatting>
  <conditionalFormatting sqref="K161:M169">
    <cfRule type="cellIs" dxfId="40" priority="58" stopIfTrue="1" operator="lessThan">
      <formula>0</formula>
    </cfRule>
  </conditionalFormatting>
  <conditionalFormatting sqref="K179:M180">
    <cfRule type="cellIs" dxfId="39" priority="107" stopIfTrue="1" operator="lessThan">
      <formula>0</formula>
    </cfRule>
  </conditionalFormatting>
  <conditionalFormatting sqref="K183:M184">
    <cfRule type="cellIs" dxfId="38" priority="104" stopIfTrue="1" operator="lessThan">
      <formula>0</formula>
    </cfRule>
  </conditionalFormatting>
  <conditionalFormatting sqref="K187:M188">
    <cfRule type="cellIs" dxfId="37" priority="101" stopIfTrue="1" operator="lessThan">
      <formula>0</formula>
    </cfRule>
  </conditionalFormatting>
  <conditionalFormatting sqref="K193:M195">
    <cfRule type="cellIs" dxfId="36" priority="100" stopIfTrue="1" operator="lessThan">
      <formula>0</formula>
    </cfRule>
  </conditionalFormatting>
  <conditionalFormatting sqref="K198:M199">
    <cfRule type="cellIs" dxfId="35" priority="97" stopIfTrue="1" operator="lessThan">
      <formula>0</formula>
    </cfRule>
  </conditionalFormatting>
  <conditionalFormatting sqref="K202:M203">
    <cfRule type="cellIs" dxfId="34" priority="94" stopIfTrue="1" operator="lessThan">
      <formula>0</formula>
    </cfRule>
  </conditionalFormatting>
  <conditionalFormatting sqref="K206:M207">
    <cfRule type="cellIs" dxfId="33" priority="91" stopIfTrue="1" operator="lessThan">
      <formula>0</formula>
    </cfRule>
  </conditionalFormatting>
  <conditionalFormatting sqref="K212:M220">
    <cfRule type="cellIs" dxfId="32" priority="56" stopIfTrue="1" operator="lessThan">
      <formula>0</formula>
    </cfRule>
  </conditionalFormatting>
  <conditionalFormatting sqref="K222:M226">
    <cfRule type="cellIs" dxfId="31" priority="57" stopIfTrue="1" operator="lessThan">
      <formula>0</formula>
    </cfRule>
  </conditionalFormatting>
  <conditionalFormatting sqref="K234:M235">
    <cfRule type="cellIs" dxfId="30" priority="88" stopIfTrue="1" operator="lessThan">
      <formula>0</formula>
    </cfRule>
  </conditionalFormatting>
  <conditionalFormatting sqref="K238:M239">
    <cfRule type="cellIs" dxfId="29" priority="85" stopIfTrue="1" operator="lessThan">
      <formula>0</formula>
    </cfRule>
  </conditionalFormatting>
  <conditionalFormatting sqref="K242:M243">
    <cfRule type="cellIs" dxfId="28" priority="82" stopIfTrue="1" operator="lessThan">
      <formula>0</formula>
    </cfRule>
  </conditionalFormatting>
  <conditionalFormatting sqref="K248:M251 K253:M257">
    <cfRule type="cellIs" dxfId="27" priority="173" stopIfTrue="1" operator="lessThan">
      <formula>0</formula>
    </cfRule>
  </conditionalFormatting>
  <conditionalFormatting sqref="K270:M271">
    <cfRule type="cellIs" dxfId="26" priority="79" stopIfTrue="1" operator="lessThan">
      <formula>0</formula>
    </cfRule>
  </conditionalFormatting>
  <conditionalFormatting sqref="K274:M275">
    <cfRule type="cellIs" dxfId="25" priority="76" stopIfTrue="1" operator="lessThan">
      <formula>0</formula>
    </cfRule>
  </conditionalFormatting>
  <conditionalFormatting sqref="K278:M279">
    <cfRule type="cellIs" dxfId="24" priority="73" stopIfTrue="1" operator="lessThan">
      <formula>0</formula>
    </cfRule>
  </conditionalFormatting>
  <conditionalFormatting sqref="K287:M289">
    <cfRule type="cellIs" dxfId="23" priority="174" stopIfTrue="1" operator="lessThan">
      <formula>0</formula>
    </cfRule>
  </conditionalFormatting>
  <conditionalFormatting sqref="K327:M328">
    <cfRule type="cellIs" dxfId="22" priority="70" stopIfTrue="1" operator="lessThan">
      <formula>0</formula>
    </cfRule>
  </conditionalFormatting>
  <conditionalFormatting sqref="K331:M332">
    <cfRule type="cellIs" dxfId="21" priority="67" stopIfTrue="1" operator="lessThan">
      <formula>0</formula>
    </cfRule>
  </conditionalFormatting>
  <conditionalFormatting sqref="K335:M336">
    <cfRule type="cellIs" dxfId="20" priority="64" stopIfTrue="1" operator="lessThan">
      <formula>0</formula>
    </cfRule>
  </conditionalFormatting>
  <conditionalFormatting sqref="K339:M339">
    <cfRule type="cellIs" dxfId="19" priority="61" stopIfTrue="1" operator="lessThan">
      <formula>0</formula>
    </cfRule>
  </conditionalFormatting>
  <conditionalFormatting sqref="K341:M344 K346:M349">
    <cfRule type="cellIs" dxfId="18" priority="175" stopIfTrue="1" operator="lessThan">
      <formula>0</formula>
    </cfRule>
  </conditionalFormatting>
  <conditionalFormatting sqref="K425:M426">
    <cfRule type="cellIs" dxfId="17" priority="33" stopIfTrue="1" operator="lessThan">
      <formula>0</formula>
    </cfRule>
  </conditionalFormatting>
  <conditionalFormatting sqref="K429:M430">
    <cfRule type="cellIs" dxfId="16" priority="30" stopIfTrue="1" operator="lessThan">
      <formula>0</formula>
    </cfRule>
  </conditionalFormatting>
  <conditionalFormatting sqref="K433:M434">
    <cfRule type="cellIs" dxfId="15" priority="27" stopIfTrue="1" operator="lessThan">
      <formula>0</formula>
    </cfRule>
  </conditionalFormatting>
  <conditionalFormatting sqref="K437:M438">
    <cfRule type="cellIs" dxfId="14" priority="24" stopIfTrue="1" operator="lessThan">
      <formula>0</formula>
    </cfRule>
  </conditionalFormatting>
  <conditionalFormatting sqref="K443:M445">
    <cfRule type="cellIs" dxfId="13" priority="23" stopIfTrue="1" operator="lessThan">
      <formula>0</formula>
    </cfRule>
  </conditionalFormatting>
  <conditionalFormatting sqref="K448:M449">
    <cfRule type="cellIs" dxfId="12" priority="20" stopIfTrue="1" operator="lessThan">
      <formula>0</formula>
    </cfRule>
  </conditionalFormatting>
  <conditionalFormatting sqref="K452:M453">
    <cfRule type="cellIs" dxfId="11" priority="17" stopIfTrue="1" operator="lessThan">
      <formula>0</formula>
    </cfRule>
  </conditionalFormatting>
  <conditionalFormatting sqref="K456:M457">
    <cfRule type="cellIs" dxfId="10" priority="14" stopIfTrue="1" operator="lessThan">
      <formula>0</formula>
    </cfRule>
  </conditionalFormatting>
  <conditionalFormatting sqref="K460:M461">
    <cfRule type="cellIs" dxfId="9" priority="11" stopIfTrue="1" operator="lessThan">
      <formula>0</formula>
    </cfRule>
  </conditionalFormatting>
  <conditionalFormatting sqref="K466:M468">
    <cfRule type="cellIs" dxfId="8" priority="8" stopIfTrue="1" operator="lessThan">
      <formula>0</formula>
    </cfRule>
  </conditionalFormatting>
  <conditionalFormatting sqref="K471:M474">
    <cfRule type="cellIs" dxfId="7" priority="3" stopIfTrue="1" operator="lessThan">
      <formula>0</formula>
    </cfRule>
  </conditionalFormatting>
  <conditionalFormatting sqref="K72:N73">
    <cfRule type="cellIs" dxfId="6" priority="137" stopIfTrue="1" operator="lessThan">
      <formula>0</formula>
    </cfRule>
  </conditionalFormatting>
  <conditionalFormatting sqref="N105:N106">
    <cfRule type="cellIs" dxfId="5" priority="172" stopIfTrue="1" operator="lessThan">
      <formula>0</formula>
    </cfRule>
  </conditionalFormatting>
  <conditionalFormatting sqref="N124:N125">
    <cfRule type="cellIs" dxfId="4" priority="177" stopIfTrue="1" operator="lessThan">
      <formula>0</formula>
    </cfRule>
  </conditionalFormatting>
  <conditionalFormatting sqref="N161:N162">
    <cfRule type="cellIs" dxfId="3" priority="171" stopIfTrue="1" operator="lessThan">
      <formula>0</formula>
    </cfRule>
  </conditionalFormatting>
  <conditionalFormatting sqref="N193:N194">
    <cfRule type="cellIs" dxfId="2" priority="170" stopIfTrue="1" operator="lessThan">
      <formula>0</formula>
    </cfRule>
  </conditionalFormatting>
  <conditionalFormatting sqref="N212:N213">
    <cfRule type="cellIs" dxfId="1" priority="169" stopIfTrue="1" operator="lessThan">
      <formula>0</formula>
    </cfRule>
  </conditionalFormatting>
  <conditionalFormatting sqref="N337">
    <cfRule type="cellIs" dxfId="0" priority="167" stopIfTrue="1" operator="lessThan">
      <formula>0</formula>
    </cfRule>
  </conditionalFormatting>
  <dataValidations count="1">
    <dataValidation type="list" allowBlank="1" showInputMessage="1" showErrorMessage="1" sqref="D1:F1" xr:uid="{C5322BD3-A392-46EB-86D1-6090286B4D8B}">
      <formula1>_xludf.year</formula1>
    </dataValidation>
  </dataValidations>
  <printOptions horizontalCentered="1"/>
  <pageMargins left="0.25" right="0.25" top="0.75" bottom="0.75" header="0.3" footer="0.3"/>
  <pageSetup scale="57" fitToWidth="0" fitToHeight="0" orientation="portrait" r:id="rId1"/>
  <headerFooter alignWithMargins="0">
    <oddFooter>Page &amp;P of &amp;N</oddFooter>
  </headerFooter>
  <rowBreaks count="1" manualBreakCount="1">
    <brk id="71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80A374D73F847B6D5AFC3AB0AAF11" ma:contentTypeVersion="17" ma:contentTypeDescription="Create a new document." ma:contentTypeScope="" ma:versionID="f8e1d5db7192f29d69f2b3c3b36cd5b6">
  <xsd:schema xmlns:xsd="http://www.w3.org/2001/XMLSchema" xmlns:xs="http://www.w3.org/2001/XMLSchema" xmlns:p="http://schemas.microsoft.com/office/2006/metadata/properties" xmlns:ns2="eb925fc5-9712-427a-a245-85300343415e" targetNamespace="http://schemas.microsoft.com/office/2006/metadata/properties" ma:root="true" ma:fieldsID="2e22a2d99b133e2ea54d398258246fb8" ns2:_="">
    <xsd:import namespace="eb925fc5-9712-427a-a245-85300343415e"/>
    <xsd:element name="properties">
      <xsd:complexType>
        <xsd:sequence>
          <xsd:element name="documentManagement">
            <xsd:complexType>
              <xsd:all>
                <xsd:element ref="ns2:Summary" minOccurs="0"/>
                <xsd:element ref="ns2:Status" minOccurs="0"/>
                <xsd:element ref="ns2:Category" minOccurs="0"/>
                <xsd:element ref="ns2:Writer" minOccurs="0"/>
                <xsd:element ref="ns2:Reviewer" minOccurs="0"/>
                <xsd:element ref="ns2:Intervenor" minOccurs="0"/>
                <xsd:element ref="ns2:Confidentiality" minOccurs="0"/>
                <xsd:element ref="ns2:Anchor" minOccurs="0"/>
                <xsd:element ref="ns2:Notes" minOccurs="0"/>
                <xsd:element ref="ns2:SimilarIRs" minOccurs="0"/>
                <xsd:element ref="ns2:AssignedtoBWB" minOccurs="0"/>
                <xsd:element ref="ns2:Flags" minOccurs="0"/>
                <xsd:element ref="ns2:QA" minOccurs="0"/>
                <xsd:element ref="ns2:Assign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25fc5-9712-427a-a245-85300343415e" elementFormDefault="qualified">
    <xsd:import namespace="http://schemas.microsoft.com/office/2006/documentManagement/types"/>
    <xsd:import namespace="http://schemas.microsoft.com/office/infopath/2007/PartnerControls"/>
    <xsd:element name="Summary" ma:index="8" nillable="true" ma:displayName="Summary" ma:format="Dropdown" ma:internalName="Summary">
      <xsd:simpleType>
        <xsd:restriction base="dms:Note">
          <xsd:maxLength value="255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1. Drafting"/>
          <xsd:enumeration value="2A. Reviewing - Batch 1"/>
          <xsd:enumeration value="2B. Reviewing - Batch 2"/>
          <xsd:enumeration value="2C. Reviewing - Batch 3"/>
          <xsd:enumeration value="3. Approval"/>
          <xsd:enumeration value="4. QA"/>
          <xsd:enumeration value="5. Complete"/>
          <xsd:enumeration value="0. Unassigned"/>
        </xsd:restriction>
      </xsd:simpleType>
    </xsd:element>
    <xsd:element name="Category" ma:index="10" nillable="true" ma:displayName="Category" ma:format="Dropdown" ma:internalName="Category">
      <xsd:simpleType>
        <xsd:restriction base="dms:Choice">
          <xsd:enumeration value="Fee Recovery Mechanism"/>
          <xsd:enumeration value="Jurisdictional Research"/>
          <xsd:enumeration value="Fee Calculation Model"/>
          <xsd:enumeration value="Stakeholder Engagement"/>
          <xsd:enumeration value="Revenue Requirements"/>
          <xsd:enumeration value="Other"/>
          <xsd:enumeration value="Carrying Costs or Interest"/>
        </xsd:restriction>
      </xsd:simpleType>
    </xsd:element>
    <xsd:element name="Writer" ma:index="11" nillable="true" ma:displayName="Writer" ma:format="Dropdown" ma:list="UserInfo" ma:SharePointGroup="0" ma:internalName="Wri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12" nillable="true" ma:displayName="Reviewer" ma:format="Dropdown" ma:list="UserInfo" ma:SharePointGroup="0" ma:internalName="Review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3" nillable="true" ma:displayName="Intervenor" ma:format="Dropdown" ma:internalName="Intervenor">
      <xsd:simpleType>
        <xsd:restriction base="dms:Choice">
          <xsd:enumeration value="NSEB - Nova Scotia Energy Board"/>
          <xsd:enumeration value="SEE - Synapse"/>
          <xsd:enumeration value="DGT - Doane Grant Thornton"/>
          <xsd:enumeration value="SBA - Small Business Advocate"/>
          <xsd:enumeration value="IG - Industrial Group"/>
          <xsd:enumeration value="PHP - Port Hawkesbury Paper"/>
          <xsd:enumeration value="CA - Consumer Advocate"/>
          <xsd:enumeration value="MEU - Municipal Electric Utilities"/>
          <xsd:enumeration value="LEI - London Economics International LLC"/>
        </xsd:restriction>
      </xsd:simpleType>
    </xsd:element>
    <xsd:element name="Confidentiality" ma:index="14" nillable="true" ma:displayName="Confidentiality" ma:format="Dropdown" ma:internalName="Confidentiality">
      <xsd:simpleType>
        <xsd:restriction base="dms:Choice">
          <xsd:enumeration value="Public"/>
          <xsd:enumeration value="Partially Confidential"/>
          <xsd:enumeration value="Confidential"/>
        </xsd:restriction>
      </xsd:simpleType>
    </xsd:element>
    <xsd:element name="Anchor" ma:index="15" nillable="true" ma:displayName="Anchor" ma:default="1" ma:format="Dropdown" ma:internalName="Anchor">
      <xsd:simpleType>
        <xsd:restriction base="dms:Boolean"/>
      </xsd:simpleType>
    </xsd:element>
    <xsd:element name="Notes" ma:index="1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SimilarIRs" ma:index="17" nillable="true" ma:displayName="Similar IRs" ma:format="Dropdown" ma:internalName="SimilarIRs">
      <xsd:simpleType>
        <xsd:restriction base="dms:Text">
          <xsd:maxLength value="255"/>
        </xsd:restriction>
      </xsd:simpleType>
    </xsd:element>
    <xsd:element name="AssignedtoBWB" ma:index="18" nillable="true" ma:displayName="BWB Legal" ma:default="0" ma:format="Dropdown" ma:internalName="AssignedtoBWB">
      <xsd:simpleType>
        <xsd:restriction base="dms:Boolean"/>
      </xsd:simpleType>
    </xsd:element>
    <xsd:element name="Flags" ma:index="19" nillable="true" ma:displayName="Flags" ma:format="Dropdown" ma:internalName="Fl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quires revisions"/>
                    <xsd:enumeration value="Scrum review"/>
                    <xsd:enumeration value="Legal review"/>
                    <xsd:enumeration value="NSPI review"/>
                    <xsd:enumeration value="Attachment"/>
                    <xsd:enumeration value="CEO Review"/>
                  </xsd:restriction>
                </xsd:simpleType>
              </xsd:element>
            </xsd:sequence>
          </xsd:extension>
        </xsd:complexContent>
      </xsd:complexType>
    </xsd:element>
    <xsd:element name="QA" ma:index="20" nillable="true" ma:displayName="QA" ma:format="Dropdown" ma:list="UserInfo" ma:SharePointGroup="0" ma:internalName="Q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d" ma:index="21" nillable="true" ma:displayName="Assigned" ma:format="Dropdown" ma:list="UserInfo" ma:SharePointGroup="0" ma:internalName="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mmary xmlns="eb925fc5-9712-427a-a245-85300343415e" xsi:nil="true"/>
    <Flags xmlns="eb925fc5-9712-427a-a245-85300343415e" xsi:nil="true"/>
    <Assigned xmlns="eb925fc5-9712-427a-a245-85300343415e">
      <UserInfo>
        <DisplayName/>
        <AccountId xsi:nil="true"/>
        <AccountType/>
      </UserInfo>
    </Assigned>
    <Status xmlns="eb925fc5-9712-427a-a245-85300343415e">5. Complete</Status>
    <Reviewer xmlns="eb925fc5-9712-427a-a245-85300343415e">
      <UserInfo>
        <DisplayName/>
        <AccountId xsi:nil="true"/>
        <AccountType/>
      </UserInfo>
    </Reviewer>
    <Category xmlns="eb925fc5-9712-427a-a245-85300343415e" xsi:nil="true"/>
    <SimilarIRs xmlns="eb925fc5-9712-427a-a245-85300343415e" xsi:nil="true"/>
    <Writer xmlns="eb925fc5-9712-427a-a245-85300343415e">
      <UserInfo>
        <DisplayName/>
        <AccountId xsi:nil="true"/>
        <AccountType/>
      </UserInfo>
    </Writer>
    <Intervenor xmlns="eb925fc5-9712-427a-a245-85300343415e">IG - Industrial Group</Intervenor>
    <Notes xmlns="eb925fc5-9712-427a-a245-85300343415e" xsi:nil="true"/>
    <QA xmlns="eb925fc5-9712-427a-a245-85300343415e">
      <UserInfo>
        <DisplayName/>
        <AccountId xsi:nil="true"/>
        <AccountType/>
      </UserInfo>
    </QA>
    <Confidentiality xmlns="eb925fc5-9712-427a-a245-85300343415e" xsi:nil="true"/>
    <AssignedtoBWB xmlns="eb925fc5-9712-427a-a245-85300343415e">false</AssignedtoBWB>
    <Anchor xmlns="eb925fc5-9712-427a-a245-85300343415e">true</Anchor>
  </documentManagement>
</p:properties>
</file>

<file path=customXml/itemProps1.xml><?xml version="1.0" encoding="utf-8"?>
<ds:datastoreItem xmlns:ds="http://schemas.openxmlformats.org/officeDocument/2006/customXml" ds:itemID="{089027CD-A903-43B4-9CA7-038CD214C945}"/>
</file>

<file path=customXml/itemProps2.xml><?xml version="1.0" encoding="utf-8"?>
<ds:datastoreItem xmlns:ds="http://schemas.openxmlformats.org/officeDocument/2006/customXml" ds:itemID="{E32DFC6F-CAA4-4AC4-8CA6-D1CE5BB8E33B}"/>
</file>

<file path=customXml/itemProps3.xml><?xml version="1.0" encoding="utf-8"?>
<ds:datastoreItem xmlns:ds="http://schemas.openxmlformats.org/officeDocument/2006/customXml" ds:itemID="{BF3B904B-10CF-44F1-95FC-4898D4149D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Karlie MacPherson</cp:lastModifiedBy>
  <cp:revision/>
  <dcterms:created xsi:type="dcterms:W3CDTF">2026-07-07T21:06:24Z</dcterms:created>
  <dcterms:modified xsi:type="dcterms:W3CDTF">2026-09-18T16:53:56Z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0x010100C6280A374D73F847B6D5AFC3AB0AAF11</vt:lpwstr>
  </property>
  <property fmtid="{D5CDD505-2E9C-101B-9397-08002B2CF9AE}" pid="3" name="MSIP_Label_7bda8df4-51d0-4f38-b084-f675c868fb89_Enabled">
    <vt:lpwstr>true</vt:lpwstr>
  </property>
  <property fmtid="{D5CDD505-2E9C-101B-9397-08002B2CF9AE}" pid="4" name="MSIP_Label_7bda8df4-51d0-4f38-b084-f675c868fb89_SetDate">
    <vt:lpwstr>2026-09-18T13:16:39Z</vt:lpwstr>
  </property>
  <property fmtid="{D5CDD505-2E9C-101B-9397-08002B2CF9AE}" pid="5" name="MSIP_Label_7bda8df4-51d0-4f38-b084-f675c868fb89_Method">
    <vt:lpwstr>Standard</vt:lpwstr>
  </property>
  <property fmtid="{D5CDD505-2E9C-101B-9397-08002B2CF9AE}" pid="6" name="MSIP_Label_7bda8df4-51d0-4f38-b084-f675c868fb89_Name">
    <vt:lpwstr>IPP - Internal Use Only</vt:lpwstr>
  </property>
  <property fmtid="{D5CDD505-2E9C-101B-9397-08002B2CF9AE}" pid="7" name="MSIP_Label_7bda8df4-51d0-4f38-b084-f675c868fb89_SiteId">
    <vt:lpwstr>e10aa4b9-b4bd-43c3-a9d6-29280fe1d5f9</vt:lpwstr>
  </property>
  <property fmtid="{D5CDD505-2E9C-101B-9397-08002B2CF9AE}" pid="8" name="MSIP_Label_7bda8df4-51d0-4f38-b084-f675c868fb89_ActionId">
    <vt:lpwstr>e4b0c46e-7ade-4a87-8a12-abff22ebd93a</vt:lpwstr>
  </property>
  <property fmtid="{D5CDD505-2E9C-101B-9397-08002B2CF9AE}" pid="9" name="MSIP_Label_7bda8df4-51d0-4f38-b084-f675c868fb89_ContentBits">
    <vt:lpwstr>0</vt:lpwstr>
  </property>
  <property fmtid="{D5CDD505-2E9C-101B-9397-08002B2CF9AE}" pid="10" name="MSIP_Label_7bda8df4-51d0-4f38-b084-f675c868fb89_Tag">
    <vt:lpwstr>10, 3, 0, 1</vt:lpwstr>
  </property>
</Properties>
</file>